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1025" activeTab="1"/>
  </bookViews>
  <sheets>
    <sheet name="Rekapitulace stavby" sheetId="1" r:id="rId1"/>
    <sheet name="030 - Rozšíření počítárny..." sheetId="2" r:id="rId2"/>
    <sheet name="Silnoproud" sheetId="7" r:id="rId3"/>
    <sheet name="Slaboproud" sheetId="8" r:id="rId4"/>
  </sheets>
  <definedNames>
    <definedName name="_xlnm.Print_Titles" localSheetId="1">'030 - Rozšíření počítárny...'!$59:$59</definedName>
    <definedName name="_xlnm.Print_Titles" localSheetId="0">'Rekapitulace stavby'!$12:$12</definedName>
    <definedName name="_xlnm.Print_Area" localSheetId="1">'030 - Rozšíření počítárny...'!#REF!,'030 - Rozšíření počítárny...'!$C$3:$Q$44,'030 - Rozšíření počítárny...'!$C$50:$Q$193</definedName>
    <definedName name="_xlnm.Print_Area" localSheetId="0">'Rekapitulace stavby'!#REF!,'Rekapitulace stavby'!$C$3:$AP$22</definedName>
    <definedName name="_xlnm.Print_Area" localSheetId="2">Silnoproud!$A$2:$P$38</definedName>
  </definedNames>
  <calcPr calcId="145621"/>
</workbook>
</file>

<file path=xl/calcChain.xml><?xml version="1.0" encoding="utf-8"?>
<calcChain xmlns="http://schemas.openxmlformats.org/spreadsheetml/2006/main">
  <c r="N177" i="2" l="1"/>
  <c r="N170" i="2"/>
  <c r="N160" i="2"/>
  <c r="AG20" i="1" l="1"/>
  <c r="K175" i="2" l="1"/>
  <c r="K166" i="2" l="1"/>
  <c r="BJ148" i="2"/>
  <c r="BH148" i="2"/>
  <c r="BG148" i="2"/>
  <c r="BF148" i="2"/>
  <c r="BE148" i="2"/>
  <c r="Z148" i="2"/>
  <c r="X148" i="2"/>
  <c r="V148" i="2"/>
  <c r="N148" i="2"/>
  <c r="BJ140" i="2"/>
  <c r="BH140" i="2"/>
  <c r="BG140" i="2"/>
  <c r="BF140" i="2"/>
  <c r="BE140" i="2"/>
  <c r="BD140" i="2"/>
  <c r="Z140" i="2"/>
  <c r="X140" i="2"/>
  <c r="V140" i="2"/>
  <c r="N140" i="2"/>
  <c r="BJ139" i="2"/>
  <c r="BH139" i="2"/>
  <c r="BG139" i="2"/>
  <c r="BF139" i="2"/>
  <c r="BE139" i="2"/>
  <c r="Z139" i="2"/>
  <c r="X139" i="2"/>
  <c r="V139" i="2"/>
  <c r="N139" i="2"/>
  <c r="K142" i="2"/>
  <c r="BJ175" i="2" l="1"/>
  <c r="BH175" i="2"/>
  <c r="BG175" i="2"/>
  <c r="BF175" i="2"/>
  <c r="BE175" i="2"/>
  <c r="Z175" i="2"/>
  <c r="X175" i="2"/>
  <c r="V175" i="2"/>
  <c r="N175" i="2"/>
  <c r="K91" i="2"/>
  <c r="N91" i="2" s="1"/>
  <c r="BJ91" i="2"/>
  <c r="BH91" i="2"/>
  <c r="BG91" i="2"/>
  <c r="BF91" i="2"/>
  <c r="BE91" i="2"/>
  <c r="Z91" i="2"/>
  <c r="X91" i="2"/>
  <c r="V91" i="2"/>
  <c r="K76" i="2"/>
  <c r="K75" i="2"/>
  <c r="BJ184" i="2"/>
  <c r="BH184" i="2"/>
  <c r="BG184" i="2"/>
  <c r="BF184" i="2"/>
  <c r="BE184" i="2"/>
  <c r="BD184" i="2"/>
  <c r="Z184" i="2"/>
  <c r="X184" i="2"/>
  <c r="V184" i="2"/>
  <c r="N184" i="2"/>
  <c r="N183" i="2" s="1"/>
  <c r="BJ152" i="2" l="1"/>
  <c r="BH152" i="2"/>
  <c r="BG152" i="2"/>
  <c r="BF152" i="2"/>
  <c r="BE152" i="2"/>
  <c r="Z152" i="2"/>
  <c r="X152" i="2"/>
  <c r="V152" i="2"/>
  <c r="N152" i="2"/>
  <c r="BJ169" i="2"/>
  <c r="BH169" i="2"/>
  <c r="BG169" i="2"/>
  <c r="BF169" i="2"/>
  <c r="BE169" i="2"/>
  <c r="Z169" i="2"/>
  <c r="X169" i="2"/>
  <c r="V169" i="2"/>
  <c r="N169" i="2"/>
  <c r="BJ154" i="2"/>
  <c r="BH154" i="2"/>
  <c r="BG154" i="2"/>
  <c r="BF154" i="2"/>
  <c r="BE154" i="2"/>
  <c r="Z154" i="2"/>
  <c r="X154" i="2"/>
  <c r="V154" i="2"/>
  <c r="N154" i="2"/>
  <c r="BJ73" i="2"/>
  <c r="BH73" i="2"/>
  <c r="BG73" i="2"/>
  <c r="BF73" i="2"/>
  <c r="BE73" i="2"/>
  <c r="Z73" i="2"/>
  <c r="X73" i="2"/>
  <c r="V73" i="2"/>
  <c r="N73" i="2"/>
  <c r="BJ153" i="2"/>
  <c r="BH153" i="2"/>
  <c r="BG153" i="2"/>
  <c r="BF153" i="2"/>
  <c r="BE153" i="2"/>
  <c r="Z153" i="2"/>
  <c r="X153" i="2"/>
  <c r="V153" i="2"/>
  <c r="N153" i="2"/>
  <c r="BJ147" i="2"/>
  <c r="BH147" i="2"/>
  <c r="BG147" i="2"/>
  <c r="BF147" i="2"/>
  <c r="BE147" i="2"/>
  <c r="Z147" i="2"/>
  <c r="X147" i="2"/>
  <c r="V147" i="2"/>
  <c r="N147" i="2"/>
  <c r="BJ146" i="2"/>
  <c r="BH146" i="2"/>
  <c r="BG146" i="2"/>
  <c r="BF146" i="2"/>
  <c r="BE146" i="2"/>
  <c r="Z146" i="2"/>
  <c r="X146" i="2"/>
  <c r="V146" i="2"/>
  <c r="N146" i="2"/>
  <c r="BJ127" i="2"/>
  <c r="BH127" i="2"/>
  <c r="BG127" i="2"/>
  <c r="BF127" i="2"/>
  <c r="BE127" i="2"/>
  <c r="Z127" i="2"/>
  <c r="X127" i="2"/>
  <c r="V127" i="2"/>
  <c r="N127" i="2"/>
  <c r="BJ143" i="2"/>
  <c r="BH143" i="2"/>
  <c r="BG143" i="2"/>
  <c r="BF143" i="2"/>
  <c r="BE143" i="2"/>
  <c r="Z143" i="2"/>
  <c r="X143" i="2"/>
  <c r="V143" i="2"/>
  <c r="N143" i="2"/>
  <c r="BJ142" i="2"/>
  <c r="BH142" i="2"/>
  <c r="BG142" i="2"/>
  <c r="BF142" i="2"/>
  <c r="BE142" i="2"/>
  <c r="Z142" i="2"/>
  <c r="X142" i="2"/>
  <c r="V142" i="2"/>
  <c r="N142" i="2"/>
  <c r="BJ136" i="2"/>
  <c r="BH136" i="2"/>
  <c r="BG136" i="2"/>
  <c r="BF136" i="2"/>
  <c r="BE136" i="2"/>
  <c r="Z136" i="2"/>
  <c r="X136" i="2"/>
  <c r="V136" i="2"/>
  <c r="N136" i="2"/>
  <c r="BJ131" i="2"/>
  <c r="BH131" i="2"/>
  <c r="BG131" i="2"/>
  <c r="BF131" i="2"/>
  <c r="BE131" i="2"/>
  <c r="Z131" i="2"/>
  <c r="X131" i="2"/>
  <c r="V131" i="2"/>
  <c r="N131" i="2"/>
  <c r="BJ86" i="2" l="1"/>
  <c r="BH86" i="2"/>
  <c r="BG86" i="2"/>
  <c r="BF86" i="2"/>
  <c r="BE86" i="2"/>
  <c r="Z86" i="2"/>
  <c r="X86" i="2"/>
  <c r="V86" i="2"/>
  <c r="N86" i="2"/>
  <c r="BJ77" i="2"/>
  <c r="BH77" i="2"/>
  <c r="BG77" i="2"/>
  <c r="BF77" i="2"/>
  <c r="BE77" i="2"/>
  <c r="Z77" i="2"/>
  <c r="X77" i="2"/>
  <c r="V77" i="2"/>
  <c r="N77" i="2"/>
  <c r="BJ76" i="2"/>
  <c r="BH76" i="2"/>
  <c r="BG76" i="2"/>
  <c r="BF76" i="2"/>
  <c r="BE76" i="2"/>
  <c r="Z76" i="2"/>
  <c r="X76" i="2"/>
  <c r="V76" i="2"/>
  <c r="N76" i="2"/>
  <c r="BJ168" i="2"/>
  <c r="BH168" i="2"/>
  <c r="BG168" i="2"/>
  <c r="BF168" i="2"/>
  <c r="BE168" i="2"/>
  <c r="Z168" i="2"/>
  <c r="X168" i="2"/>
  <c r="V168" i="2"/>
  <c r="N168" i="2"/>
  <c r="BJ180" i="2"/>
  <c r="BH180" i="2"/>
  <c r="BG180" i="2"/>
  <c r="BF180" i="2"/>
  <c r="BE180" i="2"/>
  <c r="Z180" i="2"/>
  <c r="X180" i="2"/>
  <c r="V180" i="2"/>
  <c r="N180" i="2"/>
  <c r="BJ179" i="2"/>
  <c r="BH179" i="2"/>
  <c r="BG179" i="2"/>
  <c r="BF179" i="2"/>
  <c r="BE179" i="2"/>
  <c r="Z179" i="2"/>
  <c r="X179" i="2"/>
  <c r="V179" i="2"/>
  <c r="N179" i="2"/>
  <c r="BJ176" i="2"/>
  <c r="BH176" i="2"/>
  <c r="BG176" i="2"/>
  <c r="BF176" i="2"/>
  <c r="BE176" i="2"/>
  <c r="Z176" i="2"/>
  <c r="X176" i="2"/>
  <c r="V176" i="2"/>
  <c r="N176" i="2"/>
  <c r="AN16" i="1" l="1"/>
  <c r="AN17" i="1"/>
  <c r="N22" i="8"/>
  <c r="N21" i="8"/>
  <c r="N19" i="8"/>
  <c r="N18" i="8"/>
  <c r="N16" i="8"/>
  <c r="N14" i="8"/>
  <c r="L37" i="7"/>
  <c r="L31" i="7"/>
  <c r="L33" i="7"/>
  <c r="L35" i="7"/>
  <c r="L20" i="7"/>
  <c r="L19" i="7"/>
  <c r="L18" i="7"/>
  <c r="L17" i="7"/>
  <c r="L16" i="7"/>
  <c r="L14" i="7"/>
  <c r="L29" i="7"/>
  <c r="L27" i="7"/>
  <c r="L25" i="7"/>
  <c r="L23" i="7"/>
  <c r="L21" i="7"/>
  <c r="N13" i="8" l="1"/>
  <c r="L118" i="2" s="1"/>
  <c r="N118" i="2" s="1"/>
  <c r="L13" i="7"/>
  <c r="L117" i="2" s="1"/>
  <c r="N117" i="2" s="1"/>
  <c r="AN18" i="1"/>
  <c r="AY18" i="1"/>
  <c r="AX18" i="1"/>
  <c r="AN20" i="1"/>
  <c r="N193" i="2" l="1"/>
  <c r="N192" i="2" s="1"/>
  <c r="N191" i="2"/>
  <c r="N190" i="2" s="1"/>
  <c r="N189" i="2"/>
  <c r="N188" i="2" s="1"/>
  <c r="N187" i="2"/>
  <c r="N186" i="2" s="1"/>
  <c r="N182" i="2"/>
  <c r="N181" i="2" s="1"/>
  <c r="N178" i="2"/>
  <c r="BD180" i="2" s="1"/>
  <c r="N174" i="2"/>
  <c r="BD176" i="2" s="1"/>
  <c r="N173" i="2"/>
  <c r="BD175" i="2" s="1"/>
  <c r="N172" i="2"/>
  <c r="N171" i="2"/>
  <c r="N165" i="2"/>
  <c r="BD169" i="2" s="1"/>
  <c r="N167" i="2"/>
  <c r="N166" i="2"/>
  <c r="N164" i="2"/>
  <c r="N163" i="2"/>
  <c r="N162" i="2"/>
  <c r="N161" i="2"/>
  <c r="N159" i="2"/>
  <c r="N158" i="2"/>
  <c r="BD148" i="2" s="1"/>
  <c r="N157" i="2"/>
  <c r="N155" i="2"/>
  <c r="BD154" i="2" s="1"/>
  <c r="N151" i="2"/>
  <c r="N150" i="2"/>
  <c r="N149" i="2"/>
  <c r="N145" i="2"/>
  <c r="BD146" i="2" s="1"/>
  <c r="N141" i="2"/>
  <c r="BD139" i="2" s="1"/>
  <c r="N138" i="2"/>
  <c r="N135" i="2"/>
  <c r="BD131" i="2" s="1"/>
  <c r="N134" i="2"/>
  <c r="N133" i="2"/>
  <c r="BD136" i="2" s="1"/>
  <c r="N132" i="2"/>
  <c r="N130" i="2"/>
  <c r="N129" i="2"/>
  <c r="N137" i="2"/>
  <c r="N128" i="2"/>
  <c r="N125" i="2"/>
  <c r="N124" i="2"/>
  <c r="N123" i="2"/>
  <c r="N122" i="2"/>
  <c r="N121" i="2"/>
  <c r="N120" i="2"/>
  <c r="N115" i="2"/>
  <c r="N114" i="2" s="1"/>
  <c r="BD168" i="2" l="1"/>
  <c r="BD153" i="2"/>
  <c r="BD152" i="2"/>
  <c r="BD147" i="2"/>
  <c r="BD127" i="2"/>
  <c r="N126" i="2"/>
  <c r="BD142" i="2"/>
  <c r="BD143" i="2"/>
  <c r="BD179" i="2"/>
  <c r="N144" i="2"/>
  <c r="N119" i="2"/>
  <c r="N156" i="2"/>
  <c r="AS18" i="1"/>
  <c r="N113" i="2"/>
  <c r="N112" i="2" s="1"/>
  <c r="N111" i="2"/>
  <c r="N110" i="2"/>
  <c r="N109" i="2"/>
  <c r="N108" i="2"/>
  <c r="N106" i="2"/>
  <c r="N105" i="2"/>
  <c r="N104" i="2"/>
  <c r="N103" i="2"/>
  <c r="N102" i="2"/>
  <c r="N101" i="2"/>
  <c r="N100" i="2"/>
  <c r="N99" i="2"/>
  <c r="N94" i="2"/>
  <c r="N93" i="2"/>
  <c r="N92" i="2"/>
  <c r="N90" i="2"/>
  <c r="BD91" i="2" s="1"/>
  <c r="N89" i="2"/>
  <c r="N87" i="2"/>
  <c r="N85" i="2"/>
  <c r="BD86" i="2" s="1"/>
  <c r="N84" i="2"/>
  <c r="N83" i="2"/>
  <c r="N82" i="2"/>
  <c r="N81" i="2"/>
  <c r="N80" i="2"/>
  <c r="N79" i="2"/>
  <c r="N78" i="2"/>
  <c r="N75" i="2"/>
  <c r="BD73" i="2"/>
  <c r="N72" i="2"/>
  <c r="N71" i="2"/>
  <c r="N70" i="2"/>
  <c r="N69" i="2"/>
  <c r="N68" i="2"/>
  <c r="N66" i="2"/>
  <c r="N65" i="2"/>
  <c r="N63" i="2"/>
  <c r="N88" i="2" l="1"/>
  <c r="N67" i="2"/>
  <c r="BD76" i="2"/>
  <c r="BD77" i="2"/>
  <c r="N74" i="2"/>
  <c r="N98" i="2"/>
  <c r="N107" i="2"/>
  <c r="N64" i="2"/>
  <c r="N62" i="2" s="1"/>
  <c r="N61" i="2" l="1"/>
  <c r="V63" i="2"/>
  <c r="X63" i="2"/>
  <c r="Z63" i="2"/>
  <c r="BD63" i="2"/>
  <c r="BE63" i="2"/>
  <c r="BF63" i="2"/>
  <c r="BG63" i="2"/>
  <c r="BH63" i="2"/>
  <c r="BJ63" i="2"/>
  <c r="BD65" i="2"/>
  <c r="V65" i="2"/>
  <c r="X65" i="2"/>
  <c r="Z65" i="2"/>
  <c r="BE65" i="2"/>
  <c r="BF65" i="2"/>
  <c r="BG65" i="2"/>
  <c r="BH65" i="2"/>
  <c r="BJ65" i="2"/>
  <c r="BD66" i="2"/>
  <c r="V66" i="2"/>
  <c r="X66" i="2"/>
  <c r="Z66" i="2"/>
  <c r="BE66" i="2"/>
  <c r="BF66" i="2"/>
  <c r="BG66" i="2"/>
  <c r="BH66" i="2"/>
  <c r="BJ66" i="2"/>
  <c r="BD68" i="2"/>
  <c r="V68" i="2"/>
  <c r="X68" i="2"/>
  <c r="Z68" i="2"/>
  <c r="BE68" i="2"/>
  <c r="BF68" i="2"/>
  <c r="BG68" i="2"/>
  <c r="BH68" i="2"/>
  <c r="BJ68" i="2"/>
  <c r="BD69" i="2"/>
  <c r="V69" i="2"/>
  <c r="X69" i="2"/>
  <c r="Z69" i="2"/>
  <c r="BE69" i="2"/>
  <c r="BF69" i="2"/>
  <c r="BG69" i="2"/>
  <c r="BH69" i="2"/>
  <c r="BJ69" i="2"/>
  <c r="BD70" i="2"/>
  <c r="V70" i="2"/>
  <c r="X70" i="2"/>
  <c r="Z70" i="2"/>
  <c r="BE70" i="2"/>
  <c r="BF70" i="2"/>
  <c r="BG70" i="2"/>
  <c r="BH70" i="2"/>
  <c r="BJ70" i="2"/>
  <c r="BD71" i="2"/>
  <c r="V71" i="2"/>
  <c r="X71" i="2"/>
  <c r="Z71" i="2"/>
  <c r="BE71" i="2"/>
  <c r="BF71" i="2"/>
  <c r="BG71" i="2"/>
  <c r="BH71" i="2"/>
  <c r="BJ71" i="2"/>
  <c r="BD72" i="2"/>
  <c r="V72" i="2"/>
  <c r="X72" i="2"/>
  <c r="Z72" i="2"/>
  <c r="BE72" i="2"/>
  <c r="BF72" i="2"/>
  <c r="BG72" i="2"/>
  <c r="BH72" i="2"/>
  <c r="BJ72" i="2"/>
  <c r="BD75" i="2"/>
  <c r="V75" i="2"/>
  <c r="X75" i="2"/>
  <c r="Z75" i="2"/>
  <c r="BE75" i="2"/>
  <c r="BF75" i="2"/>
  <c r="BG75" i="2"/>
  <c r="BH75" i="2"/>
  <c r="BJ75" i="2"/>
  <c r="BD78" i="2"/>
  <c r="V78" i="2"/>
  <c r="X78" i="2"/>
  <c r="Z78" i="2"/>
  <c r="BE78" i="2"/>
  <c r="BF78" i="2"/>
  <c r="BG78" i="2"/>
  <c r="BH78" i="2"/>
  <c r="BJ78" i="2"/>
  <c r="BD79" i="2"/>
  <c r="V79" i="2"/>
  <c r="X79" i="2"/>
  <c r="Z79" i="2"/>
  <c r="BE79" i="2"/>
  <c r="BF79" i="2"/>
  <c r="BG79" i="2"/>
  <c r="BH79" i="2"/>
  <c r="BJ79" i="2"/>
  <c r="BD80" i="2"/>
  <c r="V80" i="2"/>
  <c r="X80" i="2"/>
  <c r="Z80" i="2"/>
  <c r="BE80" i="2"/>
  <c r="BF80" i="2"/>
  <c r="BG80" i="2"/>
  <c r="BH80" i="2"/>
  <c r="BJ80" i="2"/>
  <c r="BD81" i="2"/>
  <c r="V81" i="2"/>
  <c r="X81" i="2"/>
  <c r="Z81" i="2"/>
  <c r="BE81" i="2"/>
  <c r="BF81" i="2"/>
  <c r="BG81" i="2"/>
  <c r="BH81" i="2"/>
  <c r="BJ81" i="2"/>
  <c r="BD82" i="2"/>
  <c r="V82" i="2"/>
  <c r="X82" i="2"/>
  <c r="Z82" i="2"/>
  <c r="BE82" i="2"/>
  <c r="BF82" i="2"/>
  <c r="BG82" i="2"/>
  <c r="BH82" i="2"/>
  <c r="BJ82" i="2"/>
  <c r="BD83" i="2"/>
  <c r="V83" i="2"/>
  <c r="X83" i="2"/>
  <c r="Z83" i="2"/>
  <c r="BE83" i="2"/>
  <c r="BF83" i="2"/>
  <c r="BG83" i="2"/>
  <c r="BH83" i="2"/>
  <c r="BJ83" i="2"/>
  <c r="BD84" i="2"/>
  <c r="V84" i="2"/>
  <c r="X84" i="2"/>
  <c r="Z84" i="2"/>
  <c r="BE84" i="2"/>
  <c r="BF84" i="2"/>
  <c r="BG84" i="2"/>
  <c r="BH84" i="2"/>
  <c r="BJ84" i="2"/>
  <c r="BD85" i="2"/>
  <c r="V85" i="2"/>
  <c r="X85" i="2"/>
  <c r="Z85" i="2"/>
  <c r="BE85" i="2"/>
  <c r="BF85" i="2"/>
  <c r="BG85" i="2"/>
  <c r="BH85" i="2"/>
  <c r="BJ85" i="2"/>
  <c r="BD87" i="2"/>
  <c r="V87" i="2"/>
  <c r="X87" i="2"/>
  <c r="Z87" i="2"/>
  <c r="BE87" i="2"/>
  <c r="BF87" i="2"/>
  <c r="BG87" i="2"/>
  <c r="BH87" i="2"/>
  <c r="BJ87" i="2"/>
  <c r="BD89" i="2"/>
  <c r="V89" i="2"/>
  <c r="X89" i="2"/>
  <c r="Z89" i="2"/>
  <c r="BE89" i="2"/>
  <c r="BF89" i="2"/>
  <c r="BG89" i="2"/>
  <c r="BH89" i="2"/>
  <c r="BJ89" i="2"/>
  <c r="BD90" i="2"/>
  <c r="V90" i="2"/>
  <c r="X90" i="2"/>
  <c r="Z90" i="2"/>
  <c r="BE90" i="2"/>
  <c r="BF90" i="2"/>
  <c r="BG90" i="2"/>
  <c r="BH90" i="2"/>
  <c r="BJ90" i="2"/>
  <c r="BD92" i="2"/>
  <c r="V92" i="2"/>
  <c r="X92" i="2"/>
  <c r="Z92" i="2"/>
  <c r="BE92" i="2"/>
  <c r="BF92" i="2"/>
  <c r="BG92" i="2"/>
  <c r="BH92" i="2"/>
  <c r="BJ92" i="2"/>
  <c r="BD93" i="2"/>
  <c r="V93" i="2"/>
  <c r="X93" i="2"/>
  <c r="Z93" i="2"/>
  <c r="BE93" i="2"/>
  <c r="BF93" i="2"/>
  <c r="BG93" i="2"/>
  <c r="BH93" i="2"/>
  <c r="BJ93" i="2"/>
  <c r="BD94" i="2"/>
  <c r="V94" i="2"/>
  <c r="X94" i="2"/>
  <c r="Z94" i="2"/>
  <c r="BE94" i="2"/>
  <c r="BF94" i="2"/>
  <c r="BG94" i="2"/>
  <c r="BH94" i="2"/>
  <c r="BJ94" i="2"/>
  <c r="N97" i="2"/>
  <c r="BD97" i="2" s="1"/>
  <c r="V97" i="2"/>
  <c r="V96" i="2" s="1"/>
  <c r="X97" i="2"/>
  <c r="X96" i="2" s="1"/>
  <c r="Z97" i="2"/>
  <c r="Z96" i="2" s="1"/>
  <c r="BE97" i="2"/>
  <c r="BF97" i="2"/>
  <c r="BG97" i="2"/>
  <c r="BH97" i="2"/>
  <c r="BJ97" i="2"/>
  <c r="BJ96" i="2" s="1"/>
  <c r="N96" i="2" s="1"/>
  <c r="BD99" i="2"/>
  <c r="V99" i="2"/>
  <c r="X99" i="2"/>
  <c r="Z99" i="2"/>
  <c r="BE99" i="2"/>
  <c r="BF99" i="2"/>
  <c r="BG99" i="2"/>
  <c r="BH99" i="2"/>
  <c r="BJ99" i="2"/>
  <c r="BD100" i="2"/>
  <c r="V100" i="2"/>
  <c r="X100" i="2"/>
  <c r="Z100" i="2"/>
  <c r="BE100" i="2"/>
  <c r="BF100" i="2"/>
  <c r="BG100" i="2"/>
  <c r="BH100" i="2"/>
  <c r="BJ100" i="2"/>
  <c r="BD101" i="2"/>
  <c r="V101" i="2"/>
  <c r="X101" i="2"/>
  <c r="Z101" i="2"/>
  <c r="BE101" i="2"/>
  <c r="BF101" i="2"/>
  <c r="BG101" i="2"/>
  <c r="BH101" i="2"/>
  <c r="BJ101" i="2"/>
  <c r="BD102" i="2"/>
  <c r="V102" i="2"/>
  <c r="X102" i="2"/>
  <c r="Z102" i="2"/>
  <c r="BE102" i="2"/>
  <c r="BF102" i="2"/>
  <c r="BG102" i="2"/>
  <c r="BH102" i="2"/>
  <c r="BJ102" i="2"/>
  <c r="BD103" i="2"/>
  <c r="V103" i="2"/>
  <c r="X103" i="2"/>
  <c r="Z103" i="2"/>
  <c r="BE103" i="2"/>
  <c r="BF103" i="2"/>
  <c r="BG103" i="2"/>
  <c r="BH103" i="2"/>
  <c r="BJ103" i="2"/>
  <c r="BD104" i="2"/>
  <c r="V104" i="2"/>
  <c r="X104" i="2"/>
  <c r="Z104" i="2"/>
  <c r="BE104" i="2"/>
  <c r="BF104" i="2"/>
  <c r="BG104" i="2"/>
  <c r="BH104" i="2"/>
  <c r="BJ104" i="2"/>
  <c r="BD105" i="2"/>
  <c r="V105" i="2"/>
  <c r="X105" i="2"/>
  <c r="Z105" i="2"/>
  <c r="BE105" i="2"/>
  <c r="BF105" i="2"/>
  <c r="BG105" i="2"/>
  <c r="BH105" i="2"/>
  <c r="BJ105" i="2"/>
  <c r="BD106" i="2"/>
  <c r="V106" i="2"/>
  <c r="X106" i="2"/>
  <c r="Z106" i="2"/>
  <c r="BE106" i="2"/>
  <c r="BF106" i="2"/>
  <c r="BG106" i="2"/>
  <c r="BH106" i="2"/>
  <c r="BJ106" i="2"/>
  <c r="BD108" i="2"/>
  <c r="V108" i="2"/>
  <c r="X108" i="2"/>
  <c r="Z108" i="2"/>
  <c r="BE108" i="2"/>
  <c r="BF108" i="2"/>
  <c r="BG108" i="2"/>
  <c r="BH108" i="2"/>
  <c r="BJ108" i="2"/>
  <c r="BD109" i="2"/>
  <c r="V109" i="2"/>
  <c r="X109" i="2"/>
  <c r="Z109" i="2"/>
  <c r="BE109" i="2"/>
  <c r="BF109" i="2"/>
  <c r="BG109" i="2"/>
  <c r="BH109" i="2"/>
  <c r="BJ109" i="2"/>
  <c r="BD110" i="2"/>
  <c r="V110" i="2"/>
  <c r="X110" i="2"/>
  <c r="Z110" i="2"/>
  <c r="BE110" i="2"/>
  <c r="BF110" i="2"/>
  <c r="BG110" i="2"/>
  <c r="BH110" i="2"/>
  <c r="BJ110" i="2"/>
  <c r="BD111" i="2"/>
  <c r="V111" i="2"/>
  <c r="X111" i="2"/>
  <c r="Z111" i="2"/>
  <c r="BE111" i="2"/>
  <c r="BF111" i="2"/>
  <c r="BG111" i="2"/>
  <c r="BH111" i="2"/>
  <c r="BJ111" i="2"/>
  <c r="BD113" i="2"/>
  <c r="V113" i="2"/>
  <c r="V112" i="2" s="1"/>
  <c r="X113" i="2"/>
  <c r="X112" i="2" s="1"/>
  <c r="Z113" i="2"/>
  <c r="Z112" i="2" s="1"/>
  <c r="BE113" i="2"/>
  <c r="BF113" i="2"/>
  <c r="BG113" i="2"/>
  <c r="BH113" i="2"/>
  <c r="BJ113" i="2"/>
  <c r="BJ112" i="2" s="1"/>
  <c r="N25" i="2" s="1"/>
  <c r="BD115" i="2"/>
  <c r="V115" i="2"/>
  <c r="V114" i="2" s="1"/>
  <c r="X115" i="2"/>
  <c r="X114" i="2" s="1"/>
  <c r="Z115" i="2"/>
  <c r="Z114" i="2" s="1"/>
  <c r="BE115" i="2"/>
  <c r="BF115" i="2"/>
  <c r="BG115" i="2"/>
  <c r="BH115" i="2"/>
  <c r="BJ115" i="2"/>
  <c r="BJ114" i="2" s="1"/>
  <c r="N26" i="2" s="1"/>
  <c r="V117" i="2"/>
  <c r="X117" i="2"/>
  <c r="Z117" i="2"/>
  <c r="BE117" i="2"/>
  <c r="BF117" i="2"/>
  <c r="BG117" i="2"/>
  <c r="BH117" i="2"/>
  <c r="V118" i="2"/>
  <c r="X118" i="2"/>
  <c r="Z118" i="2"/>
  <c r="BE118" i="2"/>
  <c r="BF118" i="2"/>
  <c r="BG118" i="2"/>
  <c r="BH118" i="2"/>
  <c r="V120" i="2"/>
  <c r="X120" i="2"/>
  <c r="Z120" i="2"/>
  <c r="BD120" i="2"/>
  <c r="BE120" i="2"/>
  <c r="BF120" i="2"/>
  <c r="BG120" i="2"/>
  <c r="BH120" i="2"/>
  <c r="BJ120" i="2"/>
  <c r="BD121" i="2"/>
  <c r="V121" i="2"/>
  <c r="X121" i="2"/>
  <c r="Z121" i="2"/>
  <c r="BE121" i="2"/>
  <c r="BF121" i="2"/>
  <c r="BG121" i="2"/>
  <c r="BH121" i="2"/>
  <c r="BJ121" i="2"/>
  <c r="BD122" i="2"/>
  <c r="V122" i="2"/>
  <c r="X122" i="2"/>
  <c r="Z122" i="2"/>
  <c r="BE122" i="2"/>
  <c r="BF122" i="2"/>
  <c r="BG122" i="2"/>
  <c r="BH122" i="2"/>
  <c r="BJ122" i="2"/>
  <c r="BD123" i="2"/>
  <c r="V123" i="2"/>
  <c r="X123" i="2"/>
  <c r="Z123" i="2"/>
  <c r="BE123" i="2"/>
  <c r="BF123" i="2"/>
  <c r="BG123" i="2"/>
  <c r="BH123" i="2"/>
  <c r="BJ123" i="2"/>
  <c r="BD124" i="2"/>
  <c r="V124" i="2"/>
  <c r="X124" i="2"/>
  <c r="Z124" i="2"/>
  <c r="BE124" i="2"/>
  <c r="BF124" i="2"/>
  <c r="BG124" i="2"/>
  <c r="BH124" i="2"/>
  <c r="BJ124" i="2"/>
  <c r="BD125" i="2"/>
  <c r="V125" i="2"/>
  <c r="X125" i="2"/>
  <c r="Z125" i="2"/>
  <c r="BE125" i="2"/>
  <c r="BF125" i="2"/>
  <c r="BG125" i="2"/>
  <c r="BH125" i="2"/>
  <c r="BJ125" i="2"/>
  <c r="V128" i="2"/>
  <c r="X128" i="2"/>
  <c r="Z128" i="2"/>
  <c r="BD128" i="2"/>
  <c r="BE128" i="2"/>
  <c r="BF128" i="2"/>
  <c r="BG128" i="2"/>
  <c r="BH128" i="2"/>
  <c r="BJ128" i="2"/>
  <c r="BD137" i="2"/>
  <c r="V137" i="2"/>
  <c r="X137" i="2"/>
  <c r="Z137" i="2"/>
  <c r="BE137" i="2"/>
  <c r="BF137" i="2"/>
  <c r="BG137" i="2"/>
  <c r="BH137" i="2"/>
  <c r="BJ137" i="2"/>
  <c r="BD129" i="2"/>
  <c r="V129" i="2"/>
  <c r="X129" i="2"/>
  <c r="Z129" i="2"/>
  <c r="BE129" i="2"/>
  <c r="BF129" i="2"/>
  <c r="BG129" i="2"/>
  <c r="BH129" i="2"/>
  <c r="BJ129" i="2"/>
  <c r="BD130" i="2"/>
  <c r="V130" i="2"/>
  <c r="X130" i="2"/>
  <c r="Z130" i="2"/>
  <c r="BE130" i="2"/>
  <c r="BF130" i="2"/>
  <c r="BG130" i="2"/>
  <c r="BH130" i="2"/>
  <c r="BJ130" i="2"/>
  <c r="BD132" i="2"/>
  <c r="V132" i="2"/>
  <c r="X132" i="2"/>
  <c r="Z132" i="2"/>
  <c r="BE132" i="2"/>
  <c r="BF132" i="2"/>
  <c r="BG132" i="2"/>
  <c r="BH132" i="2"/>
  <c r="BJ132" i="2"/>
  <c r="V133" i="2"/>
  <c r="X133" i="2"/>
  <c r="Z133" i="2"/>
  <c r="BD133" i="2"/>
  <c r="BE133" i="2"/>
  <c r="BF133" i="2"/>
  <c r="BG133" i="2"/>
  <c r="BH133" i="2"/>
  <c r="BJ133" i="2"/>
  <c r="V134" i="2"/>
  <c r="X134" i="2"/>
  <c r="Z134" i="2"/>
  <c r="BD134" i="2"/>
  <c r="BE134" i="2"/>
  <c r="BF134" i="2"/>
  <c r="BG134" i="2"/>
  <c r="BH134" i="2"/>
  <c r="BJ134" i="2"/>
  <c r="BD135" i="2"/>
  <c r="V135" i="2"/>
  <c r="X135" i="2"/>
  <c r="Z135" i="2"/>
  <c r="BE135" i="2"/>
  <c r="BF135" i="2"/>
  <c r="BG135" i="2"/>
  <c r="BH135" i="2"/>
  <c r="BJ135" i="2"/>
  <c r="BD138" i="2"/>
  <c r="V138" i="2"/>
  <c r="X138" i="2"/>
  <c r="Z138" i="2"/>
  <c r="BE138" i="2"/>
  <c r="BF138" i="2"/>
  <c r="BG138" i="2"/>
  <c r="BH138" i="2"/>
  <c r="BJ138" i="2"/>
  <c r="BD141" i="2"/>
  <c r="V141" i="2"/>
  <c r="X141" i="2"/>
  <c r="Z141" i="2"/>
  <c r="BE141" i="2"/>
  <c r="BF141" i="2"/>
  <c r="BG141" i="2"/>
  <c r="BH141" i="2"/>
  <c r="BJ141" i="2"/>
  <c r="BD145" i="2"/>
  <c r="V145" i="2"/>
  <c r="X145" i="2"/>
  <c r="Z145" i="2"/>
  <c r="BE145" i="2"/>
  <c r="BF145" i="2"/>
  <c r="BG145" i="2"/>
  <c r="BH145" i="2"/>
  <c r="BJ145" i="2"/>
  <c r="BD149" i="2"/>
  <c r="V149" i="2"/>
  <c r="X149" i="2"/>
  <c r="Z149" i="2"/>
  <c r="BE149" i="2"/>
  <c r="BF149" i="2"/>
  <c r="BG149" i="2"/>
  <c r="BH149" i="2"/>
  <c r="BJ149" i="2"/>
  <c r="BD150" i="2"/>
  <c r="V150" i="2"/>
  <c r="X150" i="2"/>
  <c r="Z150" i="2"/>
  <c r="BE150" i="2"/>
  <c r="BF150" i="2"/>
  <c r="BG150" i="2"/>
  <c r="BH150" i="2"/>
  <c r="BJ150" i="2"/>
  <c r="BD151" i="2"/>
  <c r="V151" i="2"/>
  <c r="X151" i="2"/>
  <c r="Z151" i="2"/>
  <c r="BE151" i="2"/>
  <c r="BF151" i="2"/>
  <c r="BG151" i="2"/>
  <c r="BH151" i="2"/>
  <c r="BJ151" i="2"/>
  <c r="BD155" i="2"/>
  <c r="V155" i="2"/>
  <c r="X155" i="2"/>
  <c r="Z155" i="2"/>
  <c r="BE155" i="2"/>
  <c r="BF155" i="2"/>
  <c r="BG155" i="2"/>
  <c r="BH155" i="2"/>
  <c r="BJ155" i="2"/>
  <c r="BD157" i="2"/>
  <c r="V157" i="2"/>
  <c r="X157" i="2"/>
  <c r="Z157" i="2"/>
  <c r="BE157" i="2"/>
  <c r="BF157" i="2"/>
  <c r="BG157" i="2"/>
  <c r="BH157" i="2"/>
  <c r="BJ157" i="2"/>
  <c r="BD158" i="2"/>
  <c r="V158" i="2"/>
  <c r="X158" i="2"/>
  <c r="Z158" i="2"/>
  <c r="BE158" i="2"/>
  <c r="BF158" i="2"/>
  <c r="BG158" i="2"/>
  <c r="BH158" i="2"/>
  <c r="BJ158" i="2"/>
  <c r="BD159" i="2"/>
  <c r="V159" i="2"/>
  <c r="X159" i="2"/>
  <c r="Z159" i="2"/>
  <c r="BE159" i="2"/>
  <c r="BF159" i="2"/>
  <c r="BG159" i="2"/>
  <c r="BH159" i="2"/>
  <c r="BJ159" i="2"/>
  <c r="BD161" i="2"/>
  <c r="V161" i="2"/>
  <c r="X161" i="2"/>
  <c r="Z161" i="2"/>
  <c r="BE161" i="2"/>
  <c r="BF161" i="2"/>
  <c r="BG161" i="2"/>
  <c r="BH161" i="2"/>
  <c r="BJ161" i="2"/>
  <c r="BD162" i="2"/>
  <c r="V162" i="2"/>
  <c r="X162" i="2"/>
  <c r="Z162" i="2"/>
  <c r="BE162" i="2"/>
  <c r="BF162" i="2"/>
  <c r="BG162" i="2"/>
  <c r="BH162" i="2"/>
  <c r="BJ162" i="2"/>
  <c r="BD163" i="2"/>
  <c r="V163" i="2"/>
  <c r="X163" i="2"/>
  <c r="Z163" i="2"/>
  <c r="BE163" i="2"/>
  <c r="BF163" i="2"/>
  <c r="BG163" i="2"/>
  <c r="BH163" i="2"/>
  <c r="BJ163" i="2"/>
  <c r="BD164" i="2"/>
  <c r="V164" i="2"/>
  <c r="X164" i="2"/>
  <c r="Z164" i="2"/>
  <c r="BE164" i="2"/>
  <c r="BF164" i="2"/>
  <c r="BG164" i="2"/>
  <c r="BH164" i="2"/>
  <c r="BJ164" i="2"/>
  <c r="BD166" i="2"/>
  <c r="V166" i="2"/>
  <c r="X166" i="2"/>
  <c r="Z166" i="2"/>
  <c r="BE166" i="2"/>
  <c r="BF166" i="2"/>
  <c r="BG166" i="2"/>
  <c r="BH166" i="2"/>
  <c r="BJ166" i="2"/>
  <c r="BD167" i="2"/>
  <c r="V167" i="2"/>
  <c r="X167" i="2"/>
  <c r="Z167" i="2"/>
  <c r="BE167" i="2"/>
  <c r="BF167" i="2"/>
  <c r="BG167" i="2"/>
  <c r="BH167" i="2"/>
  <c r="BJ167" i="2"/>
  <c r="V165" i="2"/>
  <c r="X165" i="2"/>
  <c r="Z165" i="2"/>
  <c r="BD165" i="2"/>
  <c r="BE165" i="2"/>
  <c r="BF165" i="2"/>
  <c r="BG165" i="2"/>
  <c r="BH165" i="2"/>
  <c r="BJ165" i="2"/>
  <c r="V171" i="2"/>
  <c r="X171" i="2"/>
  <c r="Z171" i="2"/>
  <c r="BD171" i="2"/>
  <c r="BE171" i="2"/>
  <c r="BF171" i="2"/>
  <c r="BG171" i="2"/>
  <c r="BH171" i="2"/>
  <c r="BJ171" i="2"/>
  <c r="BD172" i="2"/>
  <c r="V172" i="2"/>
  <c r="X172" i="2"/>
  <c r="Z172" i="2"/>
  <c r="BE172" i="2"/>
  <c r="BF172" i="2"/>
  <c r="BG172" i="2"/>
  <c r="BH172" i="2"/>
  <c r="BJ172" i="2"/>
  <c r="V173" i="2"/>
  <c r="X173" i="2"/>
  <c r="Z173" i="2"/>
  <c r="BD173" i="2"/>
  <c r="BE173" i="2"/>
  <c r="BF173" i="2"/>
  <c r="BG173" i="2"/>
  <c r="BH173" i="2"/>
  <c r="BJ173" i="2"/>
  <c r="BD174" i="2"/>
  <c r="V174" i="2"/>
  <c r="X174" i="2"/>
  <c r="Z174" i="2"/>
  <c r="BE174" i="2"/>
  <c r="BF174" i="2"/>
  <c r="BG174" i="2"/>
  <c r="BH174" i="2"/>
  <c r="BJ174" i="2"/>
  <c r="BD178" i="2"/>
  <c r="V178" i="2"/>
  <c r="V177" i="2" s="1"/>
  <c r="X178" i="2"/>
  <c r="X177" i="2" s="1"/>
  <c r="Z178" i="2"/>
  <c r="Z177" i="2" s="1"/>
  <c r="BE178" i="2"/>
  <c r="BF178" i="2"/>
  <c r="BG178" i="2"/>
  <c r="BH178" i="2"/>
  <c r="BJ178" i="2"/>
  <c r="BJ177" i="2" s="1"/>
  <c r="N34" i="2" s="1"/>
  <c r="BD182" i="2"/>
  <c r="V182" i="2"/>
  <c r="X182" i="2"/>
  <c r="Z182" i="2"/>
  <c r="BE182" i="2"/>
  <c r="BF182" i="2"/>
  <c r="BG182" i="2"/>
  <c r="BH182" i="2"/>
  <c r="BJ182" i="2"/>
  <c r="BD187" i="2"/>
  <c r="V187" i="2"/>
  <c r="V186" i="2" s="1"/>
  <c r="X187" i="2"/>
  <c r="X186" i="2" s="1"/>
  <c r="Z187" i="2"/>
  <c r="Z186" i="2" s="1"/>
  <c r="BE187" i="2"/>
  <c r="BF187" i="2"/>
  <c r="BG187" i="2"/>
  <c r="BH187" i="2"/>
  <c r="BJ187" i="2"/>
  <c r="BJ186" i="2" s="1"/>
  <c r="BD189" i="2"/>
  <c r="V189" i="2"/>
  <c r="V188" i="2" s="1"/>
  <c r="X189" i="2"/>
  <c r="X188" i="2" s="1"/>
  <c r="Z189" i="2"/>
  <c r="Z188" i="2" s="1"/>
  <c r="BE189" i="2"/>
  <c r="BF189" i="2"/>
  <c r="BG189" i="2"/>
  <c r="BH189" i="2"/>
  <c r="BJ189" i="2"/>
  <c r="BJ188" i="2" s="1"/>
  <c r="N38" i="2" s="1"/>
  <c r="BD191" i="2"/>
  <c r="V191" i="2"/>
  <c r="V190" i="2" s="1"/>
  <c r="X191" i="2"/>
  <c r="X190" i="2" s="1"/>
  <c r="Z191" i="2"/>
  <c r="Z190" i="2" s="1"/>
  <c r="BE191" i="2"/>
  <c r="BF191" i="2"/>
  <c r="BG191" i="2"/>
  <c r="BH191" i="2"/>
  <c r="BJ191" i="2"/>
  <c r="BJ190" i="2" s="1"/>
  <c r="N39" i="2" s="1"/>
  <c r="BD193" i="2"/>
  <c r="V193" i="2"/>
  <c r="V192" i="2" s="1"/>
  <c r="X193" i="2"/>
  <c r="X192" i="2" s="1"/>
  <c r="Z193" i="2"/>
  <c r="Z192" i="2" s="1"/>
  <c r="BE193" i="2"/>
  <c r="BF193" i="2"/>
  <c r="BG193" i="2"/>
  <c r="BH193" i="2"/>
  <c r="BJ193" i="2"/>
  <c r="BJ192" i="2" s="1"/>
  <c r="N40" i="2" s="1"/>
  <c r="AS15" i="1"/>
  <c r="AS14" i="1" s="1"/>
  <c r="AX15" i="1"/>
  <c r="AY15" i="1"/>
  <c r="N31" i="2"/>
  <c r="V64" i="2"/>
  <c r="V62" i="2" s="1"/>
  <c r="N30" i="2"/>
  <c r="N32" i="2"/>
  <c r="N17" i="2"/>
  <c r="N23" i="2"/>
  <c r="N16" i="2"/>
  <c r="BJ181" i="2" l="1"/>
  <c r="N35" i="2" s="1"/>
  <c r="BJ183" i="2"/>
  <c r="V181" i="2"/>
  <c r="V183" i="2"/>
  <c r="Z181" i="2"/>
  <c r="Z183" i="2"/>
  <c r="X181" i="2"/>
  <c r="X183" i="2"/>
  <c r="BJ64" i="2"/>
  <c r="BJ62" i="2" s="1"/>
  <c r="V160" i="2"/>
  <c r="Z107" i="2"/>
  <c r="V156" i="2"/>
  <c r="X119" i="2"/>
  <c r="Z119" i="2"/>
  <c r="X116" i="2"/>
  <c r="BJ74" i="2"/>
  <c r="N19" i="2" s="1"/>
  <c r="Z74" i="2"/>
  <c r="BJ67" i="2"/>
  <c r="N18" i="2" s="1"/>
  <c r="X67" i="2"/>
  <c r="X160" i="2"/>
  <c r="BJ160" i="2"/>
  <c r="X156" i="2"/>
  <c r="BJ144" i="2"/>
  <c r="X144" i="2"/>
  <c r="BJ126" i="2"/>
  <c r="N29" i="2" s="1"/>
  <c r="BJ119" i="2"/>
  <c r="N28" i="2" s="1"/>
  <c r="V119" i="2"/>
  <c r="Z116" i="2"/>
  <c r="BJ107" i="2"/>
  <c r="N24" i="2" s="1"/>
  <c r="BJ98" i="2"/>
  <c r="X88" i="2"/>
  <c r="Z88" i="2"/>
  <c r="BJ156" i="2"/>
  <c r="Z144" i="2"/>
  <c r="X107" i="2"/>
  <c r="X98" i="2"/>
  <c r="BJ88" i="2"/>
  <c r="N20" i="2" s="1"/>
  <c r="V88" i="2"/>
  <c r="Z67" i="2"/>
  <c r="V170" i="2"/>
  <c r="BJ170" i="2"/>
  <c r="N33" i="2" s="1"/>
  <c r="X170" i="2"/>
  <c r="X74" i="2"/>
  <c r="BD118" i="2"/>
  <c r="N22" i="2"/>
  <c r="N37" i="2"/>
  <c r="N36" i="2" s="1"/>
  <c r="BJ185" i="2"/>
  <c r="N185" i="2" s="1"/>
  <c r="X185" i="2"/>
  <c r="Z170" i="2"/>
  <c r="Z156" i="2"/>
  <c r="Z126" i="2"/>
  <c r="V126" i="2"/>
  <c r="X126" i="2"/>
  <c r="V74" i="2"/>
  <c r="V67" i="2"/>
  <c r="Z64" i="2"/>
  <c r="Z62" i="2" s="1"/>
  <c r="Z185" i="2"/>
  <c r="V185" i="2"/>
  <c r="Z160" i="2"/>
  <c r="V144" i="2"/>
  <c r="V116" i="2"/>
  <c r="V107" i="2"/>
  <c r="Z98" i="2"/>
  <c r="V98" i="2"/>
  <c r="X64" i="2"/>
  <c r="X62" i="2" s="1"/>
  <c r="BJ118" i="2"/>
  <c r="X95" i="2" l="1"/>
  <c r="N15" i="2"/>
  <c r="V61" i="2"/>
  <c r="BJ61" i="2"/>
  <c r="X61" i="2"/>
  <c r="Z95" i="2"/>
  <c r="Z61" i="2"/>
  <c r="V95" i="2"/>
  <c r="BJ117" i="2"/>
  <c r="BD15" i="1"/>
  <c r="BD14" i="1" s="1"/>
  <c r="BD18" i="1"/>
  <c r="BA15" i="1"/>
  <c r="BA14" i="1" s="1"/>
  <c r="AW14" i="1" s="1"/>
  <c r="BA18" i="1"/>
  <c r="AW15" i="1"/>
  <c r="AW18" i="1"/>
  <c r="BB15" i="1"/>
  <c r="BB14" i="1" s="1"/>
  <c r="AX14" i="1" s="1"/>
  <c r="BB18" i="1"/>
  <c r="BC15" i="1"/>
  <c r="BC14" i="1" s="1"/>
  <c r="AY14" i="1" s="1"/>
  <c r="BC18" i="1"/>
  <c r="V60" i="2" l="1"/>
  <c r="AU15" i="1" s="1"/>
  <c r="AU14" i="1" s="1"/>
  <c r="X60" i="2"/>
  <c r="Z60" i="2"/>
  <c r="AU18" i="1" l="1"/>
  <c r="BD117" i="2"/>
  <c r="N116" i="2"/>
  <c r="N95" i="2" s="1"/>
  <c r="N60" i="2" s="1"/>
  <c r="BJ116" i="2"/>
  <c r="N27" i="2" l="1"/>
  <c r="BJ95" i="2"/>
  <c r="BJ60" i="2" s="1"/>
  <c r="AZ15" i="1" l="1"/>
  <c r="AZ14" i="1" s="1"/>
  <c r="AV14" i="1" s="1"/>
  <c r="AZ18" i="1"/>
  <c r="AV15" i="1"/>
  <c r="AV18" i="1"/>
  <c r="AT15" i="1" l="1"/>
  <c r="AT18" i="1"/>
  <c r="AT14" i="1"/>
  <c r="N21" i="2"/>
  <c r="N14" i="2" s="1"/>
  <c r="AG15" i="1" s="1"/>
  <c r="AG14" i="1" s="1"/>
  <c r="AN15" i="1" l="1"/>
  <c r="L44" i="2"/>
  <c r="AG22" i="1" l="1"/>
  <c r="AN14" i="1" s="1"/>
  <c r="AN22" i="1" s="1"/>
</calcChain>
</file>

<file path=xl/sharedStrings.xml><?xml version="1.0" encoding="utf-8"?>
<sst xmlns="http://schemas.openxmlformats.org/spreadsheetml/2006/main" count="1556" uniqueCount="372">
  <si>
    <t>Kód:</t>
  </si>
  <si>
    <t>030</t>
  </si>
  <si>
    <t>Stavba:</t>
  </si>
  <si>
    <t>Rozšíření počítárny bankovek</t>
  </si>
  <si>
    <t>1</t>
  </si>
  <si>
    <t>Místo:</t>
  </si>
  <si>
    <t>Datum:</t>
  </si>
  <si>
    <t>Objednavatel:</t>
  </si>
  <si>
    <t>Zhotovitel:</t>
  </si>
  <si>
    <t>Projektant:</t>
  </si>
  <si>
    <t>Zpracovatel:</t>
  </si>
  <si>
    <t>DPH</t>
  </si>
  <si>
    <t>základní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</si>
  <si>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</si>
  <si>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</si>
  <si>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</si>
  <si>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</si>
  <si>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</si>
  <si>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</si>
  <si>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</si>
  <si>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</si>
  <si>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</si>
  <si>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</si>
  <si>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</si>
  <si>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</si>
  <si>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</si>
  <si>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</si>
  <si>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</si>
  <si>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</si>
  <si>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</si>
  <si>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</si>
  <si>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</si>
  <si>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</si>
  <si>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</si>
  <si>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</si>
  <si>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{12721C95-16FF-45E3-A535-8616DDB0688E}</t>
  </si>
  <si>
    <t>{00000000-0000-0000-0000-000000000000}</t>
  </si>
  <si>
    <t>###NOINSERT###</t>
  </si>
  <si>
    <t>2) Ostatní náklady ze souhrnného listu</t>
  </si>
  <si>
    <t>Procent. zadání
[% nákladů rozpočtu]</t>
  </si>
  <si>
    <t>Zařazení nákladů</t>
  </si>
  <si>
    <t>Celkové náklady za stavbu 1) + 2)</t>
  </si>
  <si>
    <t>2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</si>
  <si>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</si>
  <si>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</si>
  <si>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</si>
  <si>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</si>
  <si>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</si>
  <si>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</si>
  <si>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</si>
  <si>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</si>
  <si>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  31 - Zdi podpěrné a volné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</si>
  <si>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</si>
  <si>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</si>
  <si>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</si>
  <si>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</si>
  <si>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</si>
  <si>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</si>
  <si>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</si>
  <si>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</si>
  <si>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</si>
  <si>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741 - Elektromontáže 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</si>
  <si>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</si>
  <si>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</si>
  <si>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</si>
  <si>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</si>
  <si>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</si>
  <si>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</si>
  <si>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</si>
  <si>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 keramické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</si>
  <si>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</si>
  <si>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</si>
  <si>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</si>
  <si>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</si>
  <si>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</si>
  <si>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</si>
  <si>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</si>
  <si>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</si>
  <si>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</si>
  <si>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</si>
  <si>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</si>
  <si>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</si>
  <si>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</si>
  <si>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</si>
  <si>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</si>
  <si>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</si>
  <si>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</si>
  <si>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</si>
  <si>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</si>
  <si>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</si>
  <si>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</si>
  <si>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</si>
  <si>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</si>
  <si>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317944323</t>
  </si>
  <si>
    <t>t</t>
  </si>
  <si>
    <t>4</t>
  </si>
  <si>
    <t>310278842</t>
  </si>
  <si>
    <t>m3</t>
  </si>
  <si>
    <t>3</t>
  </si>
  <si>
    <t>310321111</t>
  </si>
  <si>
    <t>Zabetonování otvorů do pl 1 m2 ve zdivu nadzákladovém včetně bednění a výztuže</t>
  </si>
  <si>
    <t>612181101</t>
  </si>
  <si>
    <t>Minerální stěrka tl.do 3 mm vnitřních stěn</t>
  </si>
  <si>
    <t>m2</t>
  </si>
  <si>
    <t>612335223</t>
  </si>
  <si>
    <t>Cementová štuková omítka malých ploch do 1,0 m2 na stěnách</t>
  </si>
  <si>
    <t>kus</t>
  </si>
  <si>
    <t>619991001</t>
  </si>
  <si>
    <t>Zakrytí podlah fólií přilepenou lepící páskou</t>
  </si>
  <si>
    <t>619991011</t>
  </si>
  <si>
    <t>Obalení konstrukcí a prvků fólií přilepenou lepící páskou</t>
  </si>
  <si>
    <t>619991021</t>
  </si>
  <si>
    <t>m</t>
  </si>
  <si>
    <t>629991011</t>
  </si>
  <si>
    <t>Zakrytí výplní otvorů a svislých ploch fólií přilepenou lepící páskou</t>
  </si>
  <si>
    <t>919726123</t>
  </si>
  <si>
    <t>944611111</t>
  </si>
  <si>
    <t>32</t>
  </si>
  <si>
    <t>944611811</t>
  </si>
  <si>
    <t>Demontáž ochranné plachty z textilie z umělých vláken</t>
  </si>
  <si>
    <t>952901111</t>
  </si>
  <si>
    <t>962031132</t>
  </si>
  <si>
    <t>962052211</t>
  </si>
  <si>
    <t>Bourání zdiva nadzákladového ze ŽB přes 1 m3</t>
  </si>
  <si>
    <t>968072455</t>
  </si>
  <si>
    <t>975043121</t>
  </si>
  <si>
    <t>Jednořadové podchycení stropů pro osazení nosníků v do 3,5 m pro zatížení do 1000 kg/m</t>
  </si>
  <si>
    <t>977151123</t>
  </si>
  <si>
    <t>Jádrové vrty diamantovými korunkami do D 150 mm do stavebních materiálů</t>
  </si>
  <si>
    <t>977211112</t>
  </si>
  <si>
    <t>997013213</t>
  </si>
  <si>
    <t>Vnitrostaveništní doprava suti a vybouraných hmot pro budovy v do 12 m ručně</t>
  </si>
  <si>
    <t>997013511</t>
  </si>
  <si>
    <t>997013802</t>
  </si>
  <si>
    <t>Poplatek za uložení stavebního železobetonového odpadu na skládce (skládkovné)</t>
  </si>
  <si>
    <t>997013803</t>
  </si>
  <si>
    <t>Poplatek za uložení stavebního odpadu z keramických materiálů na skládce (skládkovné)</t>
  </si>
  <si>
    <t>997013831</t>
  </si>
  <si>
    <t>Poplatek za uložení stavebního směsného odpadu na skládce (skládkovné)</t>
  </si>
  <si>
    <t>721171808</t>
  </si>
  <si>
    <t>Demontáž potrubí z PVC do D 114</t>
  </si>
  <si>
    <t>16</t>
  </si>
  <si>
    <t>722 001</t>
  </si>
  <si>
    <t>Demontáž zvlhčovače vzduchu</t>
  </si>
  <si>
    <t>Zpětná montáž kondenzačního potrubí</t>
  </si>
  <si>
    <t>722170801</t>
  </si>
  <si>
    <t>Demontáž rozvodů vody z plastů do D 25</t>
  </si>
  <si>
    <t>722211813</t>
  </si>
  <si>
    <t>Demontáž armatur přírubových se dvěma přírubami do DN 80</t>
  </si>
  <si>
    <t>722290226</t>
  </si>
  <si>
    <t>Zkouška těsnosti vodovodního potrubí závitového do DN 50</t>
  </si>
  <si>
    <t>743552311</t>
  </si>
  <si>
    <t>Montáž žlabů bez stojiny a výložníků kovových, typ Elektrovod s víkem, šířky do 170 mm</t>
  </si>
  <si>
    <t>M</t>
  </si>
  <si>
    <t>128</t>
  </si>
  <si>
    <t>733 001</t>
  </si>
  <si>
    <t>Zamražení potrubí</t>
  </si>
  <si>
    <t>733110806</t>
  </si>
  <si>
    <t>Demontáž potrubí ocelového závitového do DN 32</t>
  </si>
  <si>
    <t>733140811</t>
  </si>
  <si>
    <t>733190107</t>
  </si>
  <si>
    <t>Zkouška těsnosti potrubí ocelové závitové do DN 40</t>
  </si>
  <si>
    <t>734292727</t>
  </si>
  <si>
    <t>735121810</t>
  </si>
  <si>
    <t>Demontáž otopného tělesa ocelového článkového</t>
  </si>
  <si>
    <t>741 001</t>
  </si>
  <si>
    <t>kpl.</t>
  </si>
  <si>
    <t>741 002</t>
  </si>
  <si>
    <t>751510812</t>
  </si>
  <si>
    <t>Demontáž vzduchotechnického potrubí pozink čtyřhranného průřezu do 0,07 m2</t>
  </si>
  <si>
    <t>751510814</t>
  </si>
  <si>
    <t>Demontáž vzduchotechnického potrubí pozink čtyřhranného průřezu do 0,28 m2</t>
  </si>
  <si>
    <t>751514415</t>
  </si>
  <si>
    <t>Mtž přechodu osového do plech potrubí s přírubou do 0,280 m2</t>
  </si>
  <si>
    <t>715 002</t>
  </si>
  <si>
    <t>dodávka přechodu potrubí</t>
  </si>
  <si>
    <t>751537113</t>
  </si>
  <si>
    <t>Mtž potrubí ohebného izol minerální vatou z Al laminátu D do 300 mm</t>
  </si>
  <si>
    <t>715 003</t>
  </si>
  <si>
    <t>dodávka potrubí ohebného vč. izolace</t>
  </si>
  <si>
    <t>762 001</t>
  </si>
  <si>
    <t>762111811</t>
  </si>
  <si>
    <t>762112110</t>
  </si>
  <si>
    <t>605121110</t>
  </si>
  <si>
    <t>762421012</t>
  </si>
  <si>
    <t>762429001</t>
  </si>
  <si>
    <t>605110210</t>
  </si>
  <si>
    <t>762431012</t>
  </si>
  <si>
    <t>762431815</t>
  </si>
  <si>
    <t>5</t>
  </si>
  <si>
    <t>762511212</t>
  </si>
  <si>
    <t>762526811</t>
  </si>
  <si>
    <t>763 001</t>
  </si>
  <si>
    <t>763121411</t>
  </si>
  <si>
    <t>763121450</t>
  </si>
  <si>
    <t>763164537</t>
  </si>
  <si>
    <t>763221812</t>
  </si>
  <si>
    <t>766682112</t>
  </si>
  <si>
    <t>Montáž zárubní obložkových pro dveře jednokřídlové tl stěny do 350 mm</t>
  </si>
  <si>
    <t>611822640</t>
  </si>
  <si>
    <t>766691915</t>
  </si>
  <si>
    <t>Vyvěšení nebo zavěšení dřevěných křídel dveří pl přes 2 m2</t>
  </si>
  <si>
    <t>767 001</t>
  </si>
  <si>
    <t>767 002</t>
  </si>
  <si>
    <t>767131112</t>
  </si>
  <si>
    <t>kg</t>
  </si>
  <si>
    <t>767995114</t>
  </si>
  <si>
    <t>767996701</t>
  </si>
  <si>
    <t>776411000</t>
  </si>
  <si>
    <t>776511820</t>
  </si>
  <si>
    <t>776512000</t>
  </si>
  <si>
    <t>272451360</t>
  </si>
  <si>
    <t>777315152</t>
  </si>
  <si>
    <t>kpl</t>
  </si>
  <si>
    <t>032203000</t>
  </si>
  <si>
    <t>Pronájem ploch staveniště</t>
  </si>
  <si>
    <t>Kč</t>
  </si>
  <si>
    <t>1024</t>
  </si>
  <si>
    <t>065002000</t>
  </si>
  <si>
    <t>Mimostaveništní doprava materiálů</t>
  </si>
  <si>
    <t>071002000</t>
  </si>
  <si>
    <t>Provoz investora, třetích osob</t>
  </si>
  <si>
    <t>081002000</t>
  </si>
  <si>
    <t>Doprava zaměstnanců</t>
  </si>
  <si>
    <t>ks</t>
  </si>
  <si>
    <t>silnoproudé instalace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</si>
  <si>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</si>
  <si>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</si>
  <si>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</si>
  <si>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</si>
  <si>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</si>
  <si>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</si>
  <si>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</si>
  <si>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</si>
  <si>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</si>
  <si>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</si>
  <si>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slaboproudé instalace - EPS</t>
  </si>
  <si>
    <t>11.</t>
  </si>
  <si>
    <t>12.</t>
  </si>
  <si>
    <t>13.</t>
  </si>
  <si>
    <t>14.</t>
  </si>
  <si>
    <t>KMX BT Praha</t>
  </si>
  <si>
    <t>SECURITY TECHNOLOGIES</t>
  </si>
  <si>
    <t>koordinace určených subdodavatelů</t>
  </si>
  <si>
    <t>Stavební úpravy počítárny bankovek ČNB - pobočka Praha</t>
  </si>
  <si>
    <t>4/2014</t>
  </si>
  <si>
    <t>Česká Národní Banka</t>
  </si>
  <si>
    <t>Na Příkopě 28, 115 03  Praha 1</t>
  </si>
  <si>
    <t>Ing. arch Michal Vondra</t>
  </si>
  <si>
    <t>SLABOPROUD</t>
  </si>
  <si>
    <t>SILNOPROUD</t>
  </si>
  <si>
    <t>15.</t>
  </si>
  <si>
    <t>bm</t>
  </si>
  <si>
    <t>dodávky a montáž</t>
  </si>
  <si>
    <t>Úpravy rozvaděče R počít</t>
  </si>
  <si>
    <t>Demontáž stávajícího napájecího sloupku TEHALIT pro stroje BPS vč.kabeláže do Rpočít</t>
  </si>
  <si>
    <t>Instalace stávajících napájecích sloupků Tehalit pro stroje BPS</t>
  </si>
  <si>
    <t>Demontáž a zpětná montáž stáv.zářivkové svítidlo 4x18W, IP20 do rastru 600/600</t>
  </si>
  <si>
    <t>Demontáž a zpětná montáž stáv.zářivkové svítidlo 4x36W, IP20 do rastru 600/1200</t>
  </si>
  <si>
    <t>Demontáž a zpětná montáž stáv.zářivkové svítidlo 2x36W, IP20 přisazené</t>
  </si>
  <si>
    <t>Nové zářivkové svítidlo 4x18W, IP20, zapuštěné do rastru</t>
  </si>
  <si>
    <t>Naprogramování spínačů osvětlení</t>
  </si>
  <si>
    <t>provede pracovník objednatele</t>
  </si>
  <si>
    <t>Oceloplechová skříň pro napojení vývěv s 5 vývody</t>
  </si>
  <si>
    <t>Kabel CYKY 5Jx6mm2</t>
  </si>
  <si>
    <t>Kabel CYKY 5Jx2,5mm2</t>
  </si>
  <si>
    <t>Kabel CYKY 3Jx1,5mm2</t>
  </si>
  <si>
    <t>Kabel 1–CXKH–V180 3Jx1,5mm2</t>
  </si>
  <si>
    <t>Vodič CY zel.-žlutý 10mm2</t>
  </si>
  <si>
    <t>Výchozí revize elektro</t>
  </si>
  <si>
    <t>Kabel JE-H(St)H 2x2x0,8</t>
  </si>
  <si>
    <t>Trubky elektroinstalační PVC průměr 23mm</t>
  </si>
  <si>
    <t>Demontáž a opětné osazení hlásičů požáru</t>
  </si>
  <si>
    <t>Zakrytí na dobu realizace a odkrytí hlásičů</t>
  </si>
  <si>
    <t>Oživení systému</t>
  </si>
  <si>
    <t>krytky poskytne objednatel</t>
  </si>
  <si>
    <t>Zazdívka otvorů pl do 1 m2 ve zdivu nadzákladovém z porobetonu tl. do 300 mm</t>
  </si>
  <si>
    <t>Oblepení rámů a konstrukcí lepící páskou</t>
  </si>
  <si>
    <t>Demontáž povlakových podlah lepených (Marmoleum + pryž)</t>
  </si>
  <si>
    <t>Lepení obvodových soklíků nebo lišt pryžových řezaných výšky 50mm, vč. materiálu</t>
  </si>
  <si>
    <t>Marmoleum shodné se stávajícím v PP823 na doplnění soklíku</t>
  </si>
  <si>
    <t>Podlahy z epoxidové polymermalty tl 20 mm pro středně namáhavé povrchy</t>
  </si>
  <si>
    <t>Adhezní můstek pro epoxidovou polymermaltovou stěrku</t>
  </si>
  <si>
    <t xml:space="preserve">Dmtž Al. Lamelový podhled </t>
  </si>
  <si>
    <t>Demontáž stáv.nerezového svodidla řezáním kotev hmotnosti jednotlivých dílů do 50 kg pro zpětné použití k výrobě nových svodidel</t>
  </si>
  <si>
    <t>Montáž stěn plechových svařovaných na místě z dílů, kotvení ocel.hmoždinkami</t>
  </si>
  <si>
    <t>zárubeň obložková atypická z bílého lamina tl.20mm, šířka obložek 120mm</t>
  </si>
  <si>
    <t>D+M geotextilie pro ochranu a separaci netkaná měrná hmotnost do 500 g/m2, položení na podlahu</t>
  </si>
  <si>
    <t>Demontáž geotextilie pro ochranu a separaci  pro opětovné použití</t>
  </si>
  <si>
    <t xml:space="preserve">Montáž geotextilie pro ochranu a separaci  </t>
  </si>
  <si>
    <t>D+M ochranné plachty z textilie z umělých vláken, závěs pro předělení PP322</t>
  </si>
  <si>
    <t>Bourání přizdívek bet.konstrukcí z cihel pálených na MVC tl. do 150 mm</t>
  </si>
  <si>
    <t>Vybourání kovových dveřních zárubní včetně dřevěných obložek špalety zdiva</t>
  </si>
  <si>
    <r>
      <t xml:space="preserve">Průvrt </t>
    </r>
    <r>
      <rPr>
        <sz val="8"/>
        <rFont val="Calibri"/>
        <family val="2"/>
        <charset val="238"/>
      </rPr>
      <t>Ø</t>
    </r>
    <r>
      <rPr>
        <sz val="8"/>
        <rFont val="Trebuchet MS"/>
        <charset val="238"/>
      </rPr>
      <t xml:space="preserve">20mm výplní montované příčky z laminovaných DTD tl. 2x 20mm </t>
    </r>
  </si>
  <si>
    <t>Řezání ŽB kcí hl do 200 mm stěnovou pilou do průměru výztuže 16 mm</t>
  </si>
  <si>
    <t>Demontáž zdvojené podlahy MERO vč. ocelových patek, předání celých desek a použitelných patek objednateli</t>
  </si>
  <si>
    <t>Montáž tesařské konstrukce stěn na hladko z hranolů 80/80 (půřezové plochy do 120 cm2)</t>
  </si>
  <si>
    <t>řezivo jehličnaté hoblované hranol 80/80 jakost I-II délka 2 - 3,5 m, celková délka 13m</t>
  </si>
  <si>
    <t>Obložení boku stěny zdvojené podlahy MERO z desek OSB tl 15 mm na sraz šroubovaných</t>
  </si>
  <si>
    <t>Montáž nosného rastru provizorního podhledu z latí kotvených do obv.stěny, provizorní příčky a vyvěšených ke stropu na drátěných závěsech</t>
  </si>
  <si>
    <t>řezivo jehličnaté - středové SM tl. 33-100 mm, jakost II, 2 - 3,5 m - latě 60/40</t>
  </si>
  <si>
    <t>D+M provizorní podhled z desek OSB tl 8 mm na sraz šroubovaných na latě s přelepenými spoji páskou</t>
  </si>
  <si>
    <t>D+M provizorní příčky z desek OSB tl 8 mm na sraz šroubovaných na latě s přelepenými spoji páskou</t>
  </si>
  <si>
    <t>Montáž nosného rastru provizorní příčky z latí rozepřených mezi podlahou a stropem + lať na podlaze</t>
  </si>
  <si>
    <t>Demontáž  provizorního podhledu z desek OSB vč. nosného rastru z latí</t>
  </si>
  <si>
    <t>Demontáž provizorní příčky z desek OSB vč. nosného rastru z latí</t>
  </si>
  <si>
    <t xml:space="preserve">D+M zakrytí podlahy proti mech.poškození z desek OSB tl 8 mm na sraz </t>
  </si>
  <si>
    <t>Demontáž zakrytí podlahy proti mech.poškození z desek OSB tl 8 mm na sraz pro opětovné použití</t>
  </si>
  <si>
    <t>Montáž zakrytí podlahy proti mech.poškození z desek OSB tl 8 mm na sraz pro opětovné použití</t>
  </si>
  <si>
    <t>Demontáž rampy z desek OSB s gumovou rýkovanou krytinou</t>
  </si>
  <si>
    <t>Demontáž SDK obkladu kovových kcí tvaru L š do 0,8 m desky 1x12,5mm bez pož.odolnosti v PP328</t>
  </si>
  <si>
    <t>Demontáž sádrovláknité předsazené stěny s jednoduchou nosnou kcí opláštění jednoduché</t>
  </si>
  <si>
    <t>Dmtž a zpětná mtž nosné konstrukce stávajících rastr. podhledů, náhrada konstr. za nové do 10%</t>
  </si>
  <si>
    <t>Demontáž akust. obkladu stěn SONIT na ocelové konstr. vč. konstrukce, předání objednateli</t>
  </si>
  <si>
    <t>Dmtž a zpětná mtž rastrových výplní stáv. podhl., viditelný rastr (desky shora do rastru)</t>
  </si>
  <si>
    <r>
      <t xml:space="preserve">Dodávka nerezových sloupků trubka </t>
    </r>
    <r>
      <rPr>
        <i/>
        <sz val="8"/>
        <color indexed="12"/>
        <rFont val="Calibri"/>
        <family val="2"/>
        <charset val="238"/>
      </rPr>
      <t>Ø100mm, tl.stěny 4mm včetně atypických kotev pro vlepení do otvoru Ø150mm</t>
    </r>
  </si>
  <si>
    <t>Pryžová krytina čtverce 1,0 x 1,0m, odstín mořská zelená shodných technických parametrů se stávající v PP322</t>
  </si>
  <si>
    <t>Malby v bílém odstínu ve standardu ČNB (Tollens)</t>
  </si>
  <si>
    <t>Oprava požární izolace stropu z miner.desek v 1.suterénu</t>
  </si>
  <si>
    <t>Dodávka balistické příčky z ocel. L70/70/7mm a plechu tl. 7mm</t>
  </si>
  <si>
    <r>
      <t xml:space="preserve">Dodávka nerezového svodidla trubka </t>
    </r>
    <r>
      <rPr>
        <i/>
        <sz val="8"/>
        <color indexed="12"/>
        <rFont val="Calibri"/>
        <family val="2"/>
        <charset val="238"/>
      </rPr>
      <t xml:space="preserve">Ø 70mm, </t>
    </r>
    <r>
      <rPr>
        <i/>
        <sz val="8"/>
        <color indexed="12"/>
        <rFont val="Trebuchet MS"/>
        <family val="2"/>
        <charset val="238"/>
      </rPr>
      <t>shodného s demontovaným vč.kotev a kolen, tl. stěny 3mm</t>
    </r>
  </si>
  <si>
    <t>D+M válcované nosníky L 160/100/10 délky 5500mm dodatečně osazované do připravených otvorů viz PD</t>
  </si>
  <si>
    <t xml:space="preserve">    784 - Malby a tapety</t>
  </si>
  <si>
    <t>784 001</t>
  </si>
  <si>
    <t>919001</t>
  </si>
  <si>
    <t>919002</t>
  </si>
  <si>
    <t>Vyčištění budov občanské výstavby při výšce podlaží do 4 m - plocha staveniště+2x cesta</t>
  </si>
  <si>
    <t>977001</t>
  </si>
  <si>
    <t>Odvoz suti a vybouraných hmot z meziskládky na skládku do 1 km s naložením a se složením</t>
  </si>
  <si>
    <t>Příplatek k odvozu suti a vybouraných hmot na skládku ZKD 1 km přes 1 km</t>
  </si>
  <si>
    <t>997013509</t>
  </si>
  <si>
    <t>762 002</t>
  </si>
  <si>
    <t>762003</t>
  </si>
  <si>
    <t>762004</t>
  </si>
  <si>
    <t>763 002</t>
  </si>
  <si>
    <t>763 003</t>
  </si>
  <si>
    <t>763164617</t>
  </si>
  <si>
    <t>763005</t>
  </si>
  <si>
    <t>Montáž  Al. lamelový podhled</t>
  </si>
  <si>
    <t xml:space="preserve">Montáž atypických zámečnických konstrukcí hmotnosti do 50 kg </t>
  </si>
  <si>
    <t>767 005</t>
  </si>
  <si>
    <t>Lepení povlakových podlah pryžových</t>
  </si>
  <si>
    <t>Lepení obvodových soklíků nebo lišt z měkčených plastů</t>
  </si>
  <si>
    <t>776421100</t>
  </si>
  <si>
    <t>777001</t>
  </si>
  <si>
    <t>777115031</t>
  </si>
  <si>
    <t>781001</t>
  </si>
  <si>
    <t>722 002</t>
  </si>
  <si>
    <t>766 003</t>
  </si>
  <si>
    <t>767 004</t>
  </si>
  <si>
    <t>345751450</t>
  </si>
  <si>
    <t>345751460</t>
  </si>
  <si>
    <t>žlab kabelový  PVC 70 x170 žlab s víkem</t>
  </si>
  <si>
    <t>žlab kabelový  PVC 70 x 170 spojka</t>
  </si>
  <si>
    <t xml:space="preserve">D+M zakrytí podlahy proti mech.poškození z desek OSB tl 22 mm na sraz </t>
  </si>
  <si>
    <t>Demontáž zakrytí podlahy proti mech.poškození z desek OSB tl 22 mm na sraz pro opětovné použití</t>
  </si>
  <si>
    <t xml:space="preserve">Minerální desky rastrového podhledu 600/600 pro doplnění v PP323 </t>
  </si>
  <si>
    <t xml:space="preserve">Akustické keramické desky SONIT rastrového podhledu 600/600 pro doplnění v PP322  </t>
  </si>
  <si>
    <t>Dmtž zákrytu z plechu tl.7mm pod stopem 1.sut. šroubováním o hmot. jednotl. dílů do 50 kg pro zpětné použití a provedení atypické úpravy zákrytu</t>
  </si>
  <si>
    <t>762511216</t>
  </si>
  <si>
    <t>763 004</t>
  </si>
  <si>
    <t>763006</t>
  </si>
  <si>
    <t>Odřezání potrubí vč, zazátkování 2 ks</t>
  </si>
  <si>
    <t>Poznámka: D+M znamená dodávka a montáž</t>
  </si>
  <si>
    <t>D+M Kohout kulový přímý G 6/4 PN 42 do 185°C vnitřní závit s vypouštěním</t>
  </si>
  <si>
    <t>D+M SDK stěna předsazená profil CW+UW 50 deska SDK 1x 12,5mm bez TI, bez pož.odolnosti</t>
  </si>
  <si>
    <t>D+M SDK stěna předsazená tl 115 mm profil CW+UW 100 deska 1xakustická 12,5mm, akust. izolace se středním činitelem zvuk. pohlt. min. α = 1,0</t>
  </si>
  <si>
    <t>D+M  SDK obklad kovových kcí tvaru L š do 0,8 m desky   1x12,5mm bez pož. odolnosti v PP328/PP324A</t>
  </si>
  <si>
    <t>D+M SDK obklad nadpraží na kovové konstrukci z CD profilů tvaru U  rozv.š. 1250mm,  deska 1x12,5mm bez pož. odolnosti v PP322/PP324</t>
  </si>
  <si>
    <t>D+M silnoproudé rozvody</t>
  </si>
  <si>
    <t>D+M slaboproudé rozvody EPS</t>
  </si>
  <si>
    <t>Podlahy lité epoxidové tl 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</si>
</sst>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#,##0.00000;\-#,##0.00000"/>
    <numFmt numFmtId="166" formatCode="#,##0.000;\-#,##0.000"/>
    <numFmt numFmtId="167" formatCode="#,##0.00_ ;\-#,##0.00\ "/>
    <numFmt numFmtId="168" formatCode="0.0"/>
  </numFmts>
  <fonts count="47" x14ac:knownFonts="1">
    <font>
      <sz val="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8"/>
      <color theme="10"/>
      <name val="Trebuchet MS"/>
      <family val="2"/>
      <charset val="238"/>
    </font>
    <font>
      <sz val="18"/>
      <color theme="10"/>
      <name val="Wingdings 2"/>
      <family val="1"/>
      <charset val="2"/>
    </font>
    <font>
      <i/>
      <sz val="8"/>
      <color theme="0" tint="-0.499984740745262"/>
      <name val="Trebuchet MS"/>
      <family val="2"/>
      <charset val="238"/>
    </font>
    <font>
      <i/>
      <sz val="8"/>
      <color indexed="12"/>
      <name val="Calibri"/>
      <family val="2"/>
      <charset val="238"/>
    </font>
    <font>
      <sz val="8"/>
      <name val="Calibri"/>
      <family val="2"/>
      <charset val="238"/>
    </font>
    <font>
      <sz val="8"/>
      <color rgb="FFFF0000"/>
      <name val="Trebuchet MS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</borders>
  <cellStyleXfs count="44">
    <xf numFmtId="0" fontId="0" fillId="0" borderId="0" applyAlignment="0">
      <alignment vertical="top" wrapText="1"/>
      <protection locked="0"/>
    </xf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6" fillId="0" borderId="1" applyNumberFormat="0" applyFill="0" applyAlignment="0" applyProtection="0"/>
    <xf numFmtId="0" fontId="41" fillId="0" borderId="0" applyNumberFormat="0" applyFill="0" applyBorder="0" applyAlignment="0" applyProtection="0">
      <alignment vertical="top" wrapText="1"/>
      <protection locked="0"/>
    </xf>
    <xf numFmtId="0" fontId="27" fillId="3" borderId="0" applyNumberFormat="0" applyBorder="0" applyAlignment="0" applyProtection="0"/>
    <xf numFmtId="0" fontId="33" fillId="16" borderId="2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39" fillId="0" borderId="0"/>
    <xf numFmtId="0" fontId="40" fillId="18" borderId="6" applyNumberFormat="0" applyFont="0" applyAlignment="0" applyProtection="0"/>
    <xf numFmtId="0" fontId="32" fillId="0" borderId="7" applyNumberFormat="0" applyFill="0" applyAlignment="0" applyProtection="0"/>
    <xf numFmtId="0" fontId="26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7" borderId="8" applyNumberFormat="0" applyAlignment="0" applyProtection="0"/>
    <xf numFmtId="0" fontId="31" fillId="19" borderId="8" applyNumberFormat="0" applyAlignment="0" applyProtection="0"/>
    <xf numFmtId="0" fontId="30" fillId="19" borderId="9" applyNumberFormat="0" applyAlignment="0" applyProtection="0"/>
    <xf numFmtId="0" fontId="35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3" borderId="0" applyNumberFormat="0" applyBorder="0" applyAlignment="0" applyProtection="0"/>
  </cellStyleXfs>
  <cellXfs count="253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39" xfId="0" applyBorder="1" applyAlignment="1" applyProtection="1">
      <alignment horizontal="left" vertical="center"/>
      <protection hidden="1"/>
    </xf>
    <xf numFmtId="0" fontId="0" fillId="0" borderId="40" xfId="0" applyBorder="1" applyAlignment="1" applyProtection="1">
      <alignment horizontal="left" vertical="center"/>
      <protection hidden="1"/>
    </xf>
    <xf numFmtId="0" fontId="0" fillId="0" borderId="41" xfId="0" applyBorder="1" applyAlignment="1" applyProtection="1">
      <alignment horizontal="left" vertical="center"/>
      <protection hidden="1"/>
    </xf>
    <xf numFmtId="0" fontId="0" fillId="0" borderId="35" xfId="0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0" fontId="4" fillId="0" borderId="35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19" borderId="42" xfId="0" applyFont="1" applyFill="1" applyBorder="1" applyAlignment="1" applyProtection="1">
      <alignment horizontal="center" vertical="center" wrapText="1"/>
      <protection hidden="1"/>
    </xf>
    <xf numFmtId="0" fontId="3" fillId="19" borderId="29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35" xfId="0" applyFont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6" fillId="0" borderId="35" xfId="0" applyFont="1" applyBorder="1" applyAlignment="1" applyProtection="1">
      <alignment horizontal="left"/>
      <protection hidden="1"/>
    </xf>
    <xf numFmtId="167" fontId="0" fillId="0" borderId="0" xfId="0" applyNumberFormat="1" applyFont="1" applyAlignment="1" applyProtection="1">
      <alignment horizontal="left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49" fontId="0" fillId="0" borderId="31" xfId="0" applyNumberFormat="1" applyFont="1" applyBorder="1" applyAlignment="1" applyProtection="1">
      <alignment horizontal="left" vertical="center" wrapText="1"/>
      <protection hidden="1"/>
    </xf>
    <xf numFmtId="0" fontId="21" fillId="0" borderId="31" xfId="0" applyFont="1" applyBorder="1" applyAlignment="1" applyProtection="1">
      <alignment horizontal="center" vertical="center" wrapText="1"/>
      <protection hidden="1"/>
    </xf>
    <xf numFmtId="168" fontId="0" fillId="0" borderId="31" xfId="0" applyNumberFormat="1" applyFont="1" applyBorder="1" applyAlignment="1" applyProtection="1">
      <alignment horizontal="right" vertical="center"/>
      <protection hidden="1"/>
    </xf>
    <xf numFmtId="0" fontId="43" fillId="0" borderId="31" xfId="0" applyFont="1" applyBorder="1" applyAlignment="1" applyProtection="1">
      <alignment horizontal="left" vertical="center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164" fontId="0" fillId="0" borderId="31" xfId="0" applyNumberFormat="1" applyFont="1" applyFill="1" applyBorder="1" applyAlignment="1" applyProtection="1">
      <alignment horizontal="right" vertical="center"/>
      <protection hidden="1"/>
    </xf>
    <xf numFmtId="0" fontId="0" fillId="0" borderId="31" xfId="0" applyFill="1" applyBorder="1" applyAlignment="1" applyProtection="1">
      <alignment horizontal="left" vertical="center"/>
      <protection hidden="1"/>
    </xf>
    <xf numFmtId="164" fontId="0" fillId="0" borderId="31" xfId="0" applyNumberFormat="1" applyFont="1" applyBorder="1" applyAlignment="1" applyProtection="1">
      <alignment horizontal="right" vertical="center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49" fontId="0" fillId="0" borderId="0" xfId="0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68" fontId="0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top"/>
      <protection hidden="1"/>
    </xf>
    <xf numFmtId="0" fontId="21" fillId="0" borderId="0" xfId="0" applyFont="1" applyBorder="1" applyAlignment="1" applyProtection="1">
      <alignment vertical="top"/>
      <protection hidden="1"/>
    </xf>
    <xf numFmtId="168" fontId="0" fillId="0" borderId="0" xfId="0" applyNumberFormat="1" applyBorder="1" applyAlignment="1" applyProtection="1">
      <alignment vertical="top"/>
      <protection hidden="1"/>
    </xf>
    <xf numFmtId="0" fontId="0" fillId="0" borderId="35" xfId="0" applyBorder="1" applyAlignment="1" applyProtection="1">
      <alignment vertical="top"/>
      <protection hidden="1"/>
    </xf>
    <xf numFmtId="0" fontId="0" fillId="0" borderId="34" xfId="0" applyBorder="1" applyAlignment="1" applyProtection="1">
      <alignment vertical="top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vertical="top"/>
      <protection hidden="1"/>
    </xf>
    <xf numFmtId="0" fontId="0" fillId="0" borderId="32" xfId="0" applyBorder="1" applyAlignment="1" applyProtection="1">
      <alignment vertical="top"/>
      <protection hidden="1"/>
    </xf>
    <xf numFmtId="0" fontId="0" fillId="0" borderId="37" xfId="0" applyBorder="1" applyAlignment="1" applyProtection="1">
      <alignment vertical="top"/>
      <protection hidden="1"/>
    </xf>
    <xf numFmtId="0" fontId="3" fillId="24" borderId="0" xfId="0" applyFont="1" applyFill="1" applyBorder="1" applyAlignment="1" applyProtection="1">
      <alignment horizontal="left" vertical="center"/>
      <protection locked="0" hidden="1"/>
    </xf>
    <xf numFmtId="0" fontId="0" fillId="24" borderId="0" xfId="0" applyFont="1" applyFill="1" applyBorder="1" applyAlignment="1" applyProtection="1">
      <alignment horizontal="left" vertical="center"/>
      <protection locked="0"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24" borderId="0" xfId="0" applyFont="1" applyFill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3" fillId="19" borderId="28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left"/>
      <protection hidden="1"/>
    </xf>
    <xf numFmtId="0" fontId="16" fillId="0" borderId="13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6" fillId="0" borderId="14" xfId="0" applyFont="1" applyBorder="1" applyAlignment="1" applyProtection="1">
      <alignment horizontal="left"/>
      <protection hidden="1"/>
    </xf>
    <xf numFmtId="0" fontId="21" fillId="0" borderId="31" xfId="0" applyFont="1" applyFill="1" applyBorder="1" applyAlignment="1" applyProtection="1">
      <alignment horizontal="center" vertical="center" wrapText="1"/>
      <protection hidden="1"/>
    </xf>
    <xf numFmtId="168" fontId="0" fillId="0" borderId="31" xfId="0" applyNumberFormat="1" applyFont="1" applyFill="1" applyBorder="1" applyAlignment="1" applyProtection="1">
      <alignment horizontal="right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19" borderId="16" xfId="0" applyFill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8" fillId="0" borderId="20" xfId="0" applyNumberFormat="1" applyFont="1" applyBorder="1" applyAlignment="1" applyProtection="1">
      <alignment horizontal="right" vertical="center"/>
      <protection hidden="1"/>
    </xf>
    <xf numFmtId="164" fontId="8" fillId="0" borderId="0" xfId="0" applyNumberFormat="1" applyFont="1" applyAlignment="1" applyProtection="1">
      <alignment horizontal="right" vertical="center"/>
      <protection hidden="1"/>
    </xf>
    <xf numFmtId="165" fontId="8" fillId="0" borderId="0" xfId="0" applyNumberFormat="1" applyFont="1" applyAlignment="1" applyProtection="1">
      <alignment horizontal="right" vertical="center"/>
      <protection hidden="1"/>
    </xf>
    <xf numFmtId="164" fontId="8" fillId="0" borderId="21" xfId="0" applyNumberFormat="1" applyFont="1" applyBorder="1" applyAlignment="1" applyProtection="1">
      <alignment horizontal="right" vertical="center"/>
      <protection hidden="1"/>
    </xf>
    <xf numFmtId="0" fontId="42" fillId="0" borderId="0" xfId="20" applyFont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1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164" fontId="13" fillId="0" borderId="22" xfId="0" applyNumberFormat="1" applyFont="1" applyBorder="1" applyAlignment="1" applyProtection="1">
      <alignment horizontal="right" vertical="center"/>
      <protection hidden="1"/>
    </xf>
    <xf numFmtId="164" fontId="13" fillId="0" borderId="23" xfId="0" applyNumberFormat="1" applyFont="1" applyBorder="1" applyAlignment="1" applyProtection="1">
      <alignment horizontal="right" vertical="center"/>
      <protection hidden="1"/>
    </xf>
    <xf numFmtId="165" fontId="13" fillId="0" borderId="23" xfId="0" applyNumberFormat="1" applyFont="1" applyBorder="1" applyAlignment="1" applyProtection="1">
      <alignment horizontal="right" vertical="center"/>
      <protection hidden="1"/>
    </xf>
    <xf numFmtId="164" fontId="13" fillId="0" borderId="2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9" fillId="19" borderId="0" xfId="0" applyFont="1" applyFill="1" applyAlignment="1" applyProtection="1">
      <alignment horizontal="left" vertical="center"/>
      <protection hidden="1"/>
    </xf>
    <xf numFmtId="0" fontId="0" fillId="19" borderId="0" xfId="0" applyFill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0" fillId="0" borderId="26" xfId="0" applyBorder="1" applyAlignment="1" applyProtection="1">
      <alignment horizontal="left" vertical="center"/>
      <protection locked="0" hidden="1"/>
    </xf>
    <xf numFmtId="0" fontId="0" fillId="24" borderId="0" xfId="0" applyFont="1" applyFill="1" applyAlignment="1" applyProtection="1">
      <alignment horizontal="left" vertical="center"/>
      <protection locked="0" hidden="1"/>
    </xf>
    <xf numFmtId="0" fontId="15" fillId="0" borderId="13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14" xfId="0" applyFont="1" applyBorder="1" applyAlignment="1" applyProtection="1">
      <alignment horizontal="left" vertical="center"/>
      <protection hidden="1"/>
    </xf>
    <xf numFmtId="0" fontId="17" fillId="0" borderId="1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14" xfId="0" applyFon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165" fontId="18" fillId="0" borderId="18" xfId="0" applyNumberFormat="1" applyFont="1" applyBorder="1" applyAlignment="1" applyProtection="1">
      <alignment horizontal="right"/>
      <protection hidden="1"/>
    </xf>
    <xf numFmtId="165" fontId="18" fillId="0" borderId="19" xfId="0" applyNumberFormat="1" applyFont="1" applyBorder="1" applyAlignment="1" applyProtection="1">
      <alignment horizontal="right"/>
      <protection hidden="1"/>
    </xf>
    <xf numFmtId="164" fontId="19" fillId="0" borderId="0" xfId="0" applyNumberFormat="1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20" xfId="0" applyFont="1" applyBorder="1" applyAlignment="1" applyProtection="1">
      <alignment horizontal="left"/>
      <protection hidden="1"/>
    </xf>
    <xf numFmtId="165" fontId="16" fillId="0" borderId="0" xfId="0" applyNumberFormat="1" applyFont="1" applyAlignment="1" applyProtection="1">
      <alignment horizontal="right"/>
      <protection hidden="1"/>
    </xf>
    <xf numFmtId="165" fontId="16" fillId="0" borderId="21" xfId="0" applyNumberFormat="1" applyFont="1" applyBorder="1" applyAlignment="1" applyProtection="1">
      <alignment horizontal="right"/>
      <protection hidden="1"/>
    </xf>
    <xf numFmtId="0" fontId="16" fillId="0" borderId="0" xfId="0" applyFont="1" applyAlignment="1" applyProtection="1">
      <alignment horizontal="left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0" fillId="0" borderId="31" xfId="0" applyFont="1" applyBorder="1" applyAlignment="1" applyProtection="1">
      <alignment horizontal="center" vertical="center" wrapText="1"/>
      <protection hidden="1"/>
    </xf>
    <xf numFmtId="166" fontId="0" fillId="0" borderId="31" xfId="0" applyNumberFormat="1" applyFont="1" applyBorder="1" applyAlignment="1" applyProtection="1">
      <alignment horizontal="right" vertical="center"/>
      <protection hidden="1"/>
    </xf>
    <xf numFmtId="0" fontId="6" fillId="0" borderId="31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right" vertical="center"/>
      <protection hidden="1"/>
    </xf>
    <xf numFmtId="165" fontId="6" fillId="0" borderId="21" xfId="0" applyNumberFormat="1" applyFont="1" applyBorder="1" applyAlignment="1" applyProtection="1">
      <alignment horizontal="right" vertical="center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0" fillId="0" borderId="0" xfId="0" applyFont="1" applyFill="1" applyAlignment="1" applyProtection="1">
      <alignment horizontal="left"/>
      <protection hidden="1"/>
    </xf>
    <xf numFmtId="49" fontId="21" fillId="0" borderId="31" xfId="0" applyNumberFormat="1" applyFont="1" applyBorder="1" applyAlignment="1" applyProtection="1">
      <alignment horizontal="left" vertical="center" wrapText="1"/>
      <protection hidden="1"/>
    </xf>
    <xf numFmtId="166" fontId="0" fillId="0" borderId="31" xfId="0" applyNumberFormat="1" applyFont="1" applyFill="1" applyBorder="1" applyAlignment="1" applyProtection="1">
      <alignment horizontal="right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49" fontId="20" fillId="0" borderId="31" xfId="0" applyNumberFormat="1" applyFont="1" applyBorder="1" applyAlignment="1" applyProtection="1">
      <alignment horizontal="left" vertical="center" wrapText="1"/>
      <protection hidden="1"/>
    </xf>
    <xf numFmtId="0" fontId="20" fillId="0" borderId="31" xfId="0" applyFont="1" applyBorder="1" applyAlignment="1" applyProtection="1">
      <alignment horizontal="center" vertical="center" wrapText="1"/>
      <protection hidden="1"/>
    </xf>
    <xf numFmtId="166" fontId="20" fillId="0" borderId="31" xfId="0" applyNumberFormat="1" applyFont="1" applyBorder="1" applyAlignment="1" applyProtection="1">
      <alignment horizontal="right" vertical="center"/>
      <protection hidden="1"/>
    </xf>
    <xf numFmtId="0" fontId="0" fillId="0" borderId="13" xfId="0" applyFill="1" applyBorder="1" applyAlignment="1" applyProtection="1">
      <alignment horizontal="left" vertical="center"/>
      <protection hidden="1"/>
    </xf>
    <xf numFmtId="0" fontId="0" fillId="0" borderId="31" xfId="0" applyFont="1" applyFill="1" applyBorder="1" applyAlignment="1" applyProtection="1">
      <alignment horizontal="center" vertical="center"/>
      <protection hidden="1"/>
    </xf>
    <xf numFmtId="49" fontId="0" fillId="0" borderId="3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31" xfId="0" applyFont="1" applyFill="1" applyBorder="1" applyAlignment="1" applyProtection="1">
      <alignment horizontal="center" vertical="center" wrapText="1"/>
      <protection hidden="1"/>
    </xf>
    <xf numFmtId="0" fontId="0" fillId="0" borderId="14" xfId="0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165" fontId="6" fillId="0" borderId="0" xfId="0" applyNumberFormat="1" applyFont="1" applyFill="1" applyAlignment="1" applyProtection="1">
      <alignment horizontal="right" vertical="center"/>
      <protection hidden="1"/>
    </xf>
    <xf numFmtId="165" fontId="6" fillId="0" borderId="2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 applyProtection="1">
      <alignment horizontal="left" vertical="center"/>
      <protection hidden="1"/>
    </xf>
    <xf numFmtId="164" fontId="0" fillId="0" borderId="0" xfId="0" applyNumberFormat="1" applyFont="1" applyFill="1" applyAlignment="1" applyProtection="1">
      <alignment horizontal="right" vertical="center"/>
      <protection hidden="1"/>
    </xf>
    <xf numFmtId="166" fontId="20" fillId="0" borderId="31" xfId="0" applyNumberFormat="1" applyFont="1" applyFill="1" applyBorder="1" applyAlignment="1" applyProtection="1">
      <alignment horizontal="right" vertical="center"/>
      <protection hidden="1"/>
    </xf>
    <xf numFmtId="0" fontId="20" fillId="0" borderId="31" xfId="0" applyFont="1" applyFill="1" applyBorder="1" applyAlignment="1" applyProtection="1">
      <alignment horizontal="center" vertical="center"/>
      <protection hidden="1"/>
    </xf>
    <xf numFmtId="49" fontId="20" fillId="0" borderId="31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31" xfId="0" applyFont="1" applyFill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165" fontId="6" fillId="0" borderId="23" xfId="0" applyNumberFormat="1" applyFont="1" applyBorder="1" applyAlignment="1" applyProtection="1">
      <alignment horizontal="right" vertical="center"/>
      <protection hidden="1"/>
    </xf>
    <xf numFmtId="165" fontId="6" fillId="0" borderId="24" xfId="0" applyNumberFormat="1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/>
      <protection hidden="1"/>
    </xf>
    <xf numFmtId="0" fontId="3" fillId="24" borderId="0" xfId="0" applyFont="1" applyFill="1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top"/>
      <protection locked="0"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2" fontId="12" fillId="24" borderId="0" xfId="0" applyNumberFormat="1" applyFont="1" applyFill="1" applyAlignment="1" applyProtection="1">
      <alignment horizontal="right" vertical="center"/>
      <protection locked="0" hidden="1"/>
    </xf>
    <xf numFmtId="2" fontId="12" fillId="24" borderId="0" xfId="0" applyNumberFormat="1" applyFont="1" applyFill="1" applyAlignment="1" applyProtection="1">
      <alignment horizontal="left" vertical="center"/>
      <protection locked="0" hidden="1"/>
    </xf>
    <xf numFmtId="164" fontId="12" fillId="0" borderId="0" xfId="0" applyNumberFormat="1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38" xfId="0" applyFont="1" applyBorder="1" applyAlignment="1" applyProtection="1">
      <alignment horizontal="left" vertical="center"/>
      <protection hidden="1"/>
    </xf>
    <xf numFmtId="0" fontId="3" fillId="19" borderId="16" xfId="0" applyFont="1" applyFill="1" applyBorder="1" applyAlignment="1" applyProtection="1">
      <alignment horizontal="center" vertical="center"/>
      <protection hidden="1"/>
    </xf>
    <xf numFmtId="0" fontId="0" fillId="19" borderId="16" xfId="0" applyFill="1" applyBorder="1" applyAlignment="1" applyProtection="1">
      <alignment horizontal="left" vertical="center"/>
      <protection hidden="1"/>
    </xf>
    <xf numFmtId="0" fontId="0" fillId="19" borderId="33" xfId="0" applyFill="1" applyBorder="1" applyAlignment="1" applyProtection="1">
      <alignment horizontal="left" vertical="center"/>
      <protection hidden="1"/>
    </xf>
    <xf numFmtId="164" fontId="9" fillId="0" borderId="0" xfId="0" applyNumberFormat="1" applyFont="1" applyAlignment="1" applyProtection="1">
      <alignment horizontal="right" vertical="center"/>
      <protection hidden="1"/>
    </xf>
    <xf numFmtId="164" fontId="9" fillId="19" borderId="0" xfId="0" applyNumberFormat="1" applyFont="1" applyFill="1" applyAlignment="1" applyProtection="1">
      <alignment horizontal="right" vertical="center"/>
      <protection hidden="1"/>
    </xf>
    <xf numFmtId="0" fontId="0" fillId="19" borderId="0" xfId="0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19" borderId="15" xfId="0" applyFont="1" applyFill="1" applyBorder="1" applyAlignment="1" applyProtection="1">
      <alignment horizontal="center" vertical="center"/>
      <protection hidden="1"/>
    </xf>
    <xf numFmtId="164" fontId="17" fillId="0" borderId="0" xfId="0" applyNumberFormat="1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left"/>
      <protection hidden="1"/>
    </xf>
    <xf numFmtId="0" fontId="21" fillId="0" borderId="31" xfId="0" applyFont="1" applyBorder="1" applyAlignment="1" applyProtection="1">
      <alignment horizontal="left" vertical="center" wrapText="1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164" fontId="0" fillId="24" borderId="31" xfId="0" applyNumberFormat="1" applyFont="1" applyFill="1" applyBorder="1" applyAlignment="1" applyProtection="1">
      <alignment horizontal="right" vertical="center"/>
      <protection locked="0" hidden="1"/>
    </xf>
    <xf numFmtId="0" fontId="0" fillId="24" borderId="31" xfId="0" applyFill="1" applyBorder="1" applyAlignment="1" applyProtection="1">
      <alignment horizontal="left" vertical="center"/>
      <protection locked="0" hidden="1"/>
    </xf>
    <xf numFmtId="164" fontId="0" fillId="0" borderId="31" xfId="0" applyNumberFormat="1" applyFont="1" applyBorder="1" applyAlignment="1" applyProtection="1">
      <alignment horizontal="right" vertical="center"/>
      <protection hidden="1"/>
    </xf>
    <xf numFmtId="0" fontId="21" fillId="0" borderId="31" xfId="0" applyFont="1" applyFill="1" applyBorder="1" applyAlignment="1" applyProtection="1">
      <alignment horizontal="left" vertical="center" wrapText="1"/>
      <protection hidden="1"/>
    </xf>
    <xf numFmtId="0" fontId="0" fillId="0" borderId="31" xfId="0" applyFill="1" applyBorder="1" applyAlignment="1" applyProtection="1">
      <alignment horizontal="left" vertical="center"/>
      <protection hidden="1"/>
    </xf>
    <xf numFmtId="0" fontId="21" fillId="0" borderId="31" xfId="0" applyFont="1" applyBorder="1" applyAlignment="1" applyProtection="1">
      <alignment horizontal="left" vertical="center"/>
      <protection hidden="1"/>
    </xf>
    <xf numFmtId="0" fontId="0" fillId="0" borderId="31" xfId="0" applyFont="1" applyBorder="1" applyAlignment="1" applyProtection="1">
      <alignment horizontal="left" vertical="center" wrapText="1"/>
      <protection hidden="1"/>
    </xf>
    <xf numFmtId="0" fontId="20" fillId="0" borderId="31" xfId="0" applyFont="1" applyBorder="1" applyAlignment="1" applyProtection="1">
      <alignment horizontal="left" vertical="center" wrapText="1"/>
      <protection hidden="1"/>
    </xf>
    <xf numFmtId="0" fontId="20" fillId="0" borderId="31" xfId="0" applyFont="1" applyBorder="1" applyAlignment="1" applyProtection="1">
      <alignment horizontal="left" vertical="center"/>
      <protection hidden="1"/>
    </xf>
    <xf numFmtId="164" fontId="20" fillId="24" borderId="31" xfId="0" applyNumberFormat="1" applyFont="1" applyFill="1" applyBorder="1" applyAlignment="1" applyProtection="1">
      <alignment horizontal="right" vertical="center"/>
      <protection locked="0" hidden="1"/>
    </xf>
    <xf numFmtId="0" fontId="20" fillId="24" borderId="31" xfId="0" applyFont="1" applyFill="1" applyBorder="1" applyAlignment="1" applyProtection="1">
      <alignment horizontal="left" vertical="center"/>
      <protection locked="0" hidden="1"/>
    </xf>
    <xf numFmtId="0" fontId="21" fillId="0" borderId="28" xfId="0" applyFont="1" applyFill="1" applyBorder="1" applyAlignment="1" applyProtection="1">
      <alignment horizontal="left" vertical="center" wrapText="1"/>
      <protection hidden="1"/>
    </xf>
    <xf numFmtId="0" fontId="0" fillId="0" borderId="29" xfId="0" applyFont="1" applyFill="1" applyBorder="1" applyAlignment="1" applyProtection="1">
      <alignment horizontal="left" vertical="center" wrapText="1"/>
      <protection hidden="1"/>
    </xf>
    <xf numFmtId="0" fontId="0" fillId="0" borderId="30" xfId="0" applyFont="1" applyFill="1" applyBorder="1" applyAlignment="1" applyProtection="1">
      <alignment horizontal="left" vertical="center" wrapText="1"/>
      <protection hidden="1"/>
    </xf>
    <xf numFmtId="164" fontId="0" fillId="0" borderId="28" xfId="0" applyNumberFormat="1" applyFont="1" applyFill="1" applyBorder="1" applyAlignment="1" applyProtection="1">
      <alignment horizontal="right" vertical="center"/>
      <protection hidden="1"/>
    </xf>
    <xf numFmtId="164" fontId="0" fillId="0" borderId="29" xfId="0" applyNumberFormat="1" applyFont="1" applyFill="1" applyBorder="1" applyAlignment="1" applyProtection="1">
      <alignment horizontal="right" vertical="center"/>
      <protection hidden="1"/>
    </xf>
    <xf numFmtId="164" fontId="0" fillId="0" borderId="30" xfId="0" applyNumberFormat="1" applyFont="1" applyFill="1" applyBorder="1" applyAlignment="1" applyProtection="1">
      <alignment horizontal="right" vertical="center"/>
      <protection hidden="1"/>
    </xf>
    <xf numFmtId="164" fontId="9" fillId="0" borderId="0" xfId="0" applyNumberFormat="1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left" vertical="center"/>
      <protection hidden="1"/>
    </xf>
    <xf numFmtId="164" fontId="0" fillId="0" borderId="0" xfId="0" applyNumberFormat="1" applyFont="1" applyAlignment="1" applyProtection="1">
      <alignment horizontal="right"/>
      <protection hidden="1"/>
    </xf>
    <xf numFmtId="164" fontId="17" fillId="0" borderId="0" xfId="0" applyNumberFormat="1" applyFont="1" applyFill="1" applyAlignment="1" applyProtection="1">
      <alignment horizontal="right"/>
      <protection hidden="1"/>
    </xf>
    <xf numFmtId="0" fontId="16" fillId="0" borderId="0" xfId="0" applyFont="1" applyFill="1" applyAlignment="1" applyProtection="1">
      <alignment horizontal="left"/>
      <protection hidden="1"/>
    </xf>
    <xf numFmtId="164" fontId="15" fillId="0" borderId="0" xfId="0" applyNumberFormat="1" applyFont="1" applyAlignment="1" applyProtection="1">
      <alignment horizontal="right"/>
      <protection hidden="1"/>
    </xf>
    <xf numFmtId="0" fontId="20" fillId="0" borderId="28" xfId="0" applyFont="1" applyFill="1" applyBorder="1" applyAlignment="1" applyProtection="1">
      <alignment horizontal="left" vertical="center" wrapText="1"/>
      <protection hidden="1"/>
    </xf>
    <xf numFmtId="0" fontId="20" fillId="0" borderId="29" xfId="0" applyFont="1" applyFill="1" applyBorder="1" applyAlignment="1" applyProtection="1">
      <alignment horizontal="left" vertical="center" wrapText="1"/>
      <protection hidden="1"/>
    </xf>
    <xf numFmtId="0" fontId="20" fillId="0" borderId="30" xfId="0" applyFont="1" applyFill="1" applyBorder="1" applyAlignment="1" applyProtection="1">
      <alignment horizontal="left" vertical="center" wrapText="1"/>
      <protection hidden="1"/>
    </xf>
    <xf numFmtId="164" fontId="0" fillId="0" borderId="31" xfId="0" applyNumberFormat="1" applyFont="1" applyFill="1" applyBorder="1" applyAlignment="1" applyProtection="1">
      <alignment horizontal="right" vertical="center"/>
      <protection hidden="1"/>
    </xf>
    <xf numFmtId="0" fontId="0" fillId="0" borderId="28" xfId="0" applyFont="1" applyBorder="1" applyAlignment="1" applyProtection="1">
      <alignment horizontal="left" vertical="center" wrapText="1"/>
      <protection hidden="1"/>
    </xf>
    <xf numFmtId="0" fontId="0" fillId="0" borderId="29" xfId="0" applyFont="1" applyBorder="1" applyAlignment="1" applyProtection="1">
      <alignment horizontal="left" vertical="center" wrapText="1"/>
      <protection hidden="1"/>
    </xf>
    <xf numFmtId="0" fontId="0" fillId="0" borderId="30" xfId="0" applyFont="1" applyBorder="1" applyAlignment="1" applyProtection="1">
      <alignment horizontal="left" vertical="center" wrapText="1"/>
      <protection hidden="1"/>
    </xf>
    <xf numFmtId="164" fontId="0" fillId="24" borderId="28" xfId="0" applyNumberFormat="1" applyFont="1" applyFill="1" applyBorder="1" applyAlignment="1" applyProtection="1">
      <alignment horizontal="right" vertical="center"/>
      <protection locked="0" hidden="1"/>
    </xf>
    <xf numFmtId="164" fontId="0" fillId="24" borderId="30" xfId="0" applyNumberFormat="1" applyFont="1" applyFill="1" applyBorder="1" applyAlignment="1" applyProtection="1">
      <alignment horizontal="right" vertical="center"/>
      <protection locked="0" hidden="1"/>
    </xf>
    <xf numFmtId="164" fontId="0" fillId="0" borderId="28" xfId="0" applyNumberFormat="1" applyFont="1" applyBorder="1" applyAlignment="1" applyProtection="1">
      <alignment horizontal="right" vertical="center"/>
      <protection hidden="1"/>
    </xf>
    <xf numFmtId="164" fontId="0" fillId="0" borderId="29" xfId="0" applyNumberFormat="1" applyFont="1" applyBorder="1" applyAlignment="1" applyProtection="1">
      <alignment horizontal="right" vertical="center"/>
      <protection hidden="1"/>
    </xf>
    <xf numFmtId="164" fontId="0" fillId="0" borderId="30" xfId="0" applyNumberFormat="1" applyFont="1" applyBorder="1" applyAlignment="1" applyProtection="1">
      <alignment horizontal="right" vertical="center"/>
      <protection hidden="1"/>
    </xf>
    <xf numFmtId="0" fontId="0" fillId="0" borderId="31" xfId="0" applyFont="1" applyFill="1" applyBorder="1" applyAlignment="1" applyProtection="1">
      <alignment horizontal="left" vertical="center" wrapText="1"/>
      <protection hidden="1"/>
    </xf>
    <xf numFmtId="0" fontId="20" fillId="0" borderId="31" xfId="0" applyFont="1" applyFill="1" applyBorder="1" applyAlignment="1" applyProtection="1">
      <alignment horizontal="left" vertical="center" wrapText="1"/>
      <protection hidden="1"/>
    </xf>
    <xf numFmtId="0" fontId="20" fillId="0" borderId="31" xfId="0" applyFont="1" applyFill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top"/>
      <protection hidden="1"/>
    </xf>
    <xf numFmtId="49" fontId="0" fillId="0" borderId="0" xfId="0" applyNumberFormat="1" applyFont="1" applyAlignment="1" applyProtection="1">
      <alignment horizontal="left" vertical="center"/>
      <protection hidden="1"/>
    </xf>
    <xf numFmtId="0" fontId="3" fillId="19" borderId="29" xfId="0" applyFont="1" applyFill="1" applyBorder="1" applyAlignment="1" applyProtection="1">
      <alignment horizontal="center" vertical="center" wrapText="1"/>
      <protection hidden="1"/>
    </xf>
    <xf numFmtId="0" fontId="0" fillId="19" borderId="29" xfId="0" applyFill="1" applyBorder="1" applyAlignment="1" applyProtection="1">
      <alignment horizontal="center" vertical="center" wrapText="1"/>
      <protection hidden="1"/>
    </xf>
    <xf numFmtId="0" fontId="0" fillId="19" borderId="30" xfId="0" applyFill="1" applyBorder="1" applyAlignment="1" applyProtection="1">
      <alignment horizontal="center" vertical="center" wrapText="1"/>
      <protection hidden="1"/>
    </xf>
    <xf numFmtId="164" fontId="15" fillId="0" borderId="0" xfId="0" applyNumberFormat="1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164" fontId="9" fillId="24" borderId="0" xfId="0" applyNumberFormat="1" applyFont="1" applyFill="1" applyAlignment="1" applyProtection="1">
      <alignment horizontal="right" vertical="center"/>
      <protection locked="0" hidden="1"/>
    </xf>
    <xf numFmtId="0" fontId="0" fillId="24" borderId="0" xfId="0" applyFont="1" applyFill="1" applyAlignment="1" applyProtection="1">
      <alignment horizontal="left" vertical="center"/>
      <protection locked="0" hidden="1"/>
    </xf>
    <xf numFmtId="0" fontId="3" fillId="19" borderId="0" xfId="0" applyFont="1" applyFill="1" applyAlignment="1" applyProtection="1">
      <alignment horizontal="center" vertical="center"/>
      <protection hidden="1"/>
    </xf>
    <xf numFmtId="164" fontId="17" fillId="0" borderId="0" xfId="0" applyNumberFormat="1" applyFont="1" applyBorder="1" applyAlignment="1" applyProtection="1">
      <alignment horizontal="right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34" xfId="0" applyFont="1" applyBorder="1" applyAlignment="1" applyProtection="1">
      <alignment horizontal="left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49" fontId="3" fillId="0" borderId="0" xfId="0" applyNumberFormat="1" applyFont="1" applyBorder="1" applyAlignment="1" applyProtection="1">
      <alignment horizontal="left" vertical="top"/>
      <protection hidden="1"/>
    </xf>
    <xf numFmtId="49" fontId="0" fillId="0" borderId="0" xfId="0" applyNumberFormat="1" applyFont="1" applyBorder="1" applyAlignment="1" applyProtection="1">
      <alignment horizontal="left" vertical="center"/>
      <protection hidden="1"/>
    </xf>
    <xf numFmtId="0" fontId="0" fillId="19" borderId="43" xfId="0" applyFill="1" applyBorder="1" applyAlignment="1" applyProtection="1">
      <alignment horizontal="center" vertical="center" wrapText="1"/>
      <protection hidden="1"/>
    </xf>
  </cellXfs>
  <cellStyles count="4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Hypertextový odkaz" xfId="20" builtinId="8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K23"/>
  <sheetViews>
    <sheetView showGridLines="0" zoomScaleNormal="100" workbookViewId="0">
      <pane ySplit="1" topLeftCell="A2" activePane="bottomLeft" state="frozenSplit"/>
      <selection pane="bottomLeft" activeCell="AG17" sqref="AG17:AM17"/>
    </sheetView>
  </sheetViews>
  <sheetFormatPr defaultColWidth="10.6640625" defaultRowHeight="14.25" customHeight="1" x14ac:dyDescent="0.3"/>
  <cols>
    <col min="1" max="1" width="8.33203125" style="1" customWidth="1"/>
    <col min="2" max="2" width="1.6640625" style="1" customWidth="1"/>
    <col min="3" max="3" width="4.1640625" style="1" customWidth="1"/>
    <col min="4" max="33" width="2.5" style="1" customWidth="1"/>
    <col min="34" max="34" width="3.33203125" style="1" customWidth="1"/>
    <col min="35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.6640625" style="1" customWidth="1"/>
    <col min="44" max="44" width="10.6640625" style="106" customWidth="1"/>
    <col min="45" max="46" width="25.83203125" style="1" hidden="1" customWidth="1"/>
    <col min="47" max="47" width="25" style="1" hidden="1" customWidth="1"/>
    <col min="48" max="52" width="21.6640625" style="1" hidden="1" customWidth="1"/>
    <col min="53" max="53" width="19.1640625" style="1" hidden="1" customWidth="1"/>
    <col min="54" max="54" width="25" style="1" hidden="1" customWidth="1"/>
    <col min="55" max="56" width="19.1640625" style="1" hidden="1" customWidth="1"/>
    <col min="57" max="57" width="66.5" style="1" customWidth="1"/>
    <col min="58" max="70" width="10.6640625" style="106" customWidth="1"/>
    <col min="71" max="89" width="10.6640625" style="1" hidden="1" customWidth="1"/>
    <col min="90" max="16384" width="10.6640625" style="106"/>
  </cols>
  <sheetData>
    <row r="2" spans="1:76" s="7" customFormat="1" ht="7.5" customHeight="1" x14ac:dyDescent="0.3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2"/>
    </row>
    <row r="3" spans="1:76" s="7" customFormat="1" ht="37.5" customHeight="1" x14ac:dyDescent="0.3">
      <c r="B3" s="53"/>
      <c r="C3" s="186" t="s">
        <v>13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54"/>
    </row>
    <row r="4" spans="1:76" s="57" customFormat="1" ht="15" customHeight="1" x14ac:dyDescent="0.3">
      <c r="B4" s="69"/>
      <c r="C4" s="56" t="s">
        <v>0</v>
      </c>
      <c r="AQ4" s="70"/>
    </row>
    <row r="5" spans="1:76" s="55" customFormat="1" ht="37.5" customHeight="1" x14ac:dyDescent="0.3">
      <c r="B5" s="71"/>
      <c r="C5" s="55" t="s">
        <v>2</v>
      </c>
      <c r="L5" s="185" t="s">
        <v>244</v>
      </c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Q5" s="72"/>
    </row>
    <row r="6" spans="1:76" s="7" customFormat="1" ht="7.5" customHeight="1" x14ac:dyDescent="0.3">
      <c r="B6" s="53"/>
      <c r="AQ6" s="54"/>
    </row>
    <row r="7" spans="1:76" s="7" customFormat="1" ht="15.75" customHeight="1" x14ac:dyDescent="0.3">
      <c r="B7" s="53"/>
      <c r="C7" s="56" t="s">
        <v>5</v>
      </c>
      <c r="L7" s="73" t="s">
        <v>247</v>
      </c>
      <c r="AI7" s="56" t="s">
        <v>6</v>
      </c>
      <c r="AM7" s="74" t="s">
        <v>245</v>
      </c>
      <c r="AQ7" s="54"/>
    </row>
    <row r="8" spans="1:76" s="7" customFormat="1" ht="7.5" customHeight="1" x14ac:dyDescent="0.3">
      <c r="B8" s="53"/>
      <c r="AQ8" s="54"/>
    </row>
    <row r="9" spans="1:76" s="7" customFormat="1" ht="18.75" customHeight="1" x14ac:dyDescent="0.3">
      <c r="B9" s="53"/>
      <c r="C9" s="56" t="s">
        <v>7</v>
      </c>
      <c r="L9" s="57" t="s">
        <v>246</v>
      </c>
      <c r="AI9" s="56" t="s">
        <v>9</v>
      </c>
      <c r="AM9" s="188" t="s">
        <v>248</v>
      </c>
      <c r="AN9" s="188"/>
      <c r="AO9" s="188"/>
      <c r="AP9" s="188"/>
      <c r="AQ9" s="54"/>
      <c r="AS9" s="170" t="s">
        <v>14</v>
      </c>
      <c r="AT9" s="171"/>
      <c r="AU9" s="75"/>
      <c r="AV9" s="75"/>
      <c r="AW9" s="75"/>
      <c r="AX9" s="75"/>
      <c r="AY9" s="75"/>
      <c r="AZ9" s="75"/>
      <c r="BA9" s="75"/>
      <c r="BB9" s="75"/>
      <c r="BC9" s="75"/>
      <c r="BD9" s="76"/>
    </row>
    <row r="10" spans="1:76" s="7" customFormat="1" ht="15.75" customHeight="1" x14ac:dyDescent="0.3">
      <c r="B10" s="53"/>
      <c r="C10" s="56" t="s">
        <v>8</v>
      </c>
      <c r="L10" s="5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I10" s="56" t="s">
        <v>10</v>
      </c>
      <c r="AM10" s="176"/>
      <c r="AN10" s="177"/>
      <c r="AO10" s="177"/>
      <c r="AP10" s="177"/>
      <c r="AQ10" s="178"/>
      <c r="AS10" s="172"/>
      <c r="AT10" s="173"/>
      <c r="BD10" s="77"/>
    </row>
    <row r="11" spans="1:76" s="7" customFormat="1" ht="12" customHeight="1" x14ac:dyDescent="0.3">
      <c r="B11" s="53"/>
      <c r="AQ11" s="54"/>
      <c r="AS11" s="174"/>
      <c r="AT11" s="175"/>
      <c r="BD11" s="77"/>
    </row>
    <row r="12" spans="1:76" s="7" customFormat="1" ht="30" customHeight="1" x14ac:dyDescent="0.3">
      <c r="B12" s="53"/>
      <c r="C12" s="189" t="s">
        <v>15</v>
      </c>
      <c r="D12" s="180"/>
      <c r="E12" s="180"/>
      <c r="F12" s="180"/>
      <c r="G12" s="180"/>
      <c r="H12" s="78"/>
      <c r="I12" s="179" t="s">
        <v>16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79" t="s">
        <v>17</v>
      </c>
      <c r="AH12" s="180"/>
      <c r="AI12" s="180"/>
      <c r="AJ12" s="180"/>
      <c r="AK12" s="180"/>
      <c r="AL12" s="180"/>
      <c r="AM12" s="180"/>
      <c r="AN12" s="179" t="s">
        <v>18</v>
      </c>
      <c r="AO12" s="180"/>
      <c r="AP12" s="181"/>
      <c r="AQ12" s="54"/>
      <c r="AS12" s="79" t="s">
        <v>19</v>
      </c>
      <c r="AT12" s="80" t="s">
        <v>20</v>
      </c>
      <c r="AU12" s="80" t="s">
        <v>21</v>
      </c>
      <c r="AV12" s="80" t="s">
        <v>22</v>
      </c>
      <c r="AW12" s="80" t="s">
        <v>23</v>
      </c>
      <c r="AX12" s="80" t="s">
        <v>24</v>
      </c>
      <c r="AY12" s="80" t="s">
        <v>25</v>
      </c>
      <c r="AZ12" s="80" t="s">
        <v>26</v>
      </c>
      <c r="BA12" s="80" t="s">
        <v>27</v>
      </c>
      <c r="BB12" s="80" t="s">
        <v>28</v>
      </c>
      <c r="BC12" s="80" t="s">
        <v>29</v>
      </c>
      <c r="BD12" s="81" t="s">
        <v>30</v>
      </c>
      <c r="BE12" s="82"/>
    </row>
    <row r="13" spans="1:76" s="7" customFormat="1" ht="12" customHeight="1" x14ac:dyDescent="0.3">
      <c r="B13" s="53"/>
      <c r="AQ13" s="54"/>
      <c r="AS13" s="83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6"/>
    </row>
    <row r="14" spans="1:76" s="55" customFormat="1" ht="33" customHeight="1" x14ac:dyDescent="0.3">
      <c r="B14" s="71"/>
      <c r="C14" s="84" t="s">
        <v>31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182">
        <f>ROUND(AG15+AG16+AG17+AG18,0)</f>
        <v>835180</v>
      </c>
      <c r="AH14" s="187"/>
      <c r="AI14" s="187"/>
      <c r="AJ14" s="187"/>
      <c r="AK14" s="187"/>
      <c r="AL14" s="187"/>
      <c r="AM14" s="187"/>
      <c r="AN14" s="182">
        <f>AG22*1.21</f>
        <v>1010567.7999999999</v>
      </c>
      <c r="AO14" s="187"/>
      <c r="AP14" s="187"/>
      <c r="AQ14" s="72"/>
      <c r="AS14" s="85" t="e">
        <f>ROUND($AS$15,2)</f>
        <v>#REF!</v>
      </c>
      <c r="AT14" s="86" t="e">
        <f>ROUND(SUM($AV$14:$AW$14),2)</f>
        <v>#REF!</v>
      </c>
      <c r="AU14" s="87" t="e">
        <f>ROUND($AU$15,5)</f>
        <v>#REF!</v>
      </c>
      <c r="AV14" s="86" t="e">
        <f>ROUND($AZ$14*#REF!,2)</f>
        <v>#REF!</v>
      </c>
      <c r="AW14" s="86" t="e">
        <f>ROUND($BA$14*#REF!,2)</f>
        <v>#REF!</v>
      </c>
      <c r="AX14" s="86" t="e">
        <f>ROUND($BB$14*#REF!,2)</f>
        <v>#REF!</v>
      </c>
      <c r="AY14" s="86" t="e">
        <f>ROUND($BC$14*#REF!,2)</f>
        <v>#REF!</v>
      </c>
      <c r="AZ14" s="86" t="e">
        <f>ROUND($AZ$15,2)</f>
        <v>#REF!</v>
      </c>
      <c r="BA14" s="86" t="e">
        <f>ROUND($BA$15,2)</f>
        <v>#REF!</v>
      </c>
      <c r="BB14" s="86" t="e">
        <f>ROUND($BB$15,2)</f>
        <v>#REF!</v>
      </c>
      <c r="BC14" s="86" t="e">
        <f>ROUND($BC$15,2)</f>
        <v>#REF!</v>
      </c>
      <c r="BD14" s="88" t="e">
        <f>ROUND($BD$15,2)</f>
        <v>#REF!</v>
      </c>
      <c r="BS14" s="55" t="s">
        <v>32</v>
      </c>
      <c r="BT14" s="55" t="s">
        <v>33</v>
      </c>
      <c r="BV14" s="55" t="s">
        <v>34</v>
      </c>
      <c r="BW14" s="55" t="s">
        <v>35</v>
      </c>
      <c r="BX14" s="55" t="s">
        <v>36</v>
      </c>
    </row>
    <row r="15" spans="1:76" s="93" customFormat="1" ht="28.5" customHeight="1" x14ac:dyDescent="0.3">
      <c r="A15" s="89"/>
      <c r="B15" s="90"/>
      <c r="C15" s="91"/>
      <c r="D15" s="164" t="s">
        <v>1</v>
      </c>
      <c r="E15" s="165"/>
      <c r="F15" s="165"/>
      <c r="G15" s="165"/>
      <c r="H15" s="165"/>
      <c r="I15" s="91"/>
      <c r="J15" s="164" t="s">
        <v>3</v>
      </c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8">
        <f>'030 - Rozšíření počítárny...'!N14</f>
        <v>0</v>
      </c>
      <c r="AH15" s="169"/>
      <c r="AI15" s="169"/>
      <c r="AJ15" s="169"/>
      <c r="AK15" s="169"/>
      <c r="AL15" s="169"/>
      <c r="AM15" s="169"/>
      <c r="AN15" s="168">
        <f>+AG15*1.21</f>
        <v>0</v>
      </c>
      <c r="AO15" s="169"/>
      <c r="AP15" s="169"/>
      <c r="AQ15" s="92"/>
      <c r="AS15" s="94" t="e">
        <f>'030 - Rozšíření počítárny...'!#REF!</f>
        <v>#REF!</v>
      </c>
      <c r="AT15" s="95" t="e">
        <f>ROUND(SUM($AV$15:$AW$15),2)</f>
        <v>#REF!</v>
      </c>
      <c r="AU15" s="96" t="e">
        <f>'030 - Rozšíření počítárny...'!$V$60</f>
        <v>#REF!</v>
      </c>
      <c r="AV15" s="95" t="e">
        <f>'030 - Rozšíření počítárny...'!#REF!</f>
        <v>#REF!</v>
      </c>
      <c r="AW15" s="95" t="e">
        <f>'030 - Rozšíření počítárny...'!#REF!</f>
        <v>#REF!</v>
      </c>
      <c r="AX15" s="95" t="e">
        <f>'030 - Rozšíření počítárny...'!#REF!</f>
        <v>#REF!</v>
      </c>
      <c r="AY15" s="95" t="e">
        <f>'030 - Rozšíření počítárny...'!#REF!</f>
        <v>#REF!</v>
      </c>
      <c r="AZ15" s="95" t="e">
        <f>'030 - Rozšíření počítárny...'!#REF!</f>
        <v>#REF!</v>
      </c>
      <c r="BA15" s="95" t="e">
        <f>'030 - Rozšíření počítárny...'!#REF!</f>
        <v>#REF!</v>
      </c>
      <c r="BB15" s="95" t="e">
        <f>'030 - Rozšíření počítárny...'!#REF!</f>
        <v>#REF!</v>
      </c>
      <c r="BC15" s="95" t="e">
        <f>'030 - Rozšíření počítárny...'!#REF!</f>
        <v>#REF!</v>
      </c>
      <c r="BD15" s="97" t="e">
        <f>'030 - Rozšíření počítárny...'!#REF!</f>
        <v>#REF!</v>
      </c>
      <c r="BT15" s="93" t="s">
        <v>4</v>
      </c>
      <c r="BU15" s="93" t="s">
        <v>37</v>
      </c>
      <c r="BV15" s="93" t="s">
        <v>34</v>
      </c>
      <c r="BW15" s="93" t="s">
        <v>35</v>
      </c>
      <c r="BX15" s="93" t="s">
        <v>36</v>
      </c>
    </row>
    <row r="16" spans="1:76" s="93" customFormat="1" ht="28.5" customHeight="1" x14ac:dyDescent="0.3">
      <c r="A16" s="89"/>
      <c r="B16" s="90"/>
      <c r="C16" s="91"/>
      <c r="D16" s="98"/>
      <c r="E16" s="91"/>
      <c r="F16" s="91"/>
      <c r="G16" s="91"/>
      <c r="H16" s="91"/>
      <c r="I16" s="91"/>
      <c r="J16" s="164" t="s">
        <v>241</v>
      </c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8">
        <v>558630</v>
      </c>
      <c r="AH16" s="169"/>
      <c r="AI16" s="169"/>
      <c r="AJ16" s="169"/>
      <c r="AK16" s="169"/>
      <c r="AL16" s="169"/>
      <c r="AM16" s="169"/>
      <c r="AN16" s="168">
        <f t="shared" ref="AN16:AN17" si="0">+AG16*1.21</f>
        <v>675942.29999999993</v>
      </c>
      <c r="AO16" s="169"/>
      <c r="AP16" s="169"/>
      <c r="AQ16" s="92"/>
      <c r="AS16" s="94"/>
      <c r="AT16" s="95"/>
      <c r="AU16" s="96"/>
      <c r="AV16" s="95"/>
      <c r="AW16" s="95"/>
      <c r="AX16" s="95"/>
      <c r="AY16" s="95"/>
      <c r="AZ16" s="95"/>
      <c r="BA16" s="95"/>
      <c r="BB16" s="95"/>
      <c r="BC16" s="95"/>
      <c r="BD16" s="97"/>
    </row>
    <row r="17" spans="1:76" s="93" customFormat="1" ht="28.5" customHeight="1" x14ac:dyDescent="0.3">
      <c r="A17" s="89"/>
      <c r="B17" s="90"/>
      <c r="C17" s="91"/>
      <c r="D17" s="98"/>
      <c r="E17" s="91"/>
      <c r="F17" s="91"/>
      <c r="G17" s="91"/>
      <c r="H17" s="91"/>
      <c r="I17" s="91"/>
      <c r="J17" s="164" t="s">
        <v>242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8">
        <v>276550</v>
      </c>
      <c r="AH17" s="169"/>
      <c r="AI17" s="169"/>
      <c r="AJ17" s="169"/>
      <c r="AK17" s="169"/>
      <c r="AL17" s="169"/>
      <c r="AM17" s="169"/>
      <c r="AN17" s="168">
        <f t="shared" si="0"/>
        <v>334625.5</v>
      </c>
      <c r="AO17" s="169"/>
      <c r="AP17" s="169"/>
      <c r="AQ17" s="92"/>
      <c r="AS17" s="94"/>
      <c r="AT17" s="95"/>
      <c r="AU17" s="96"/>
      <c r="AV17" s="95"/>
      <c r="AW17" s="95"/>
      <c r="AX17" s="95"/>
      <c r="AY17" s="95"/>
      <c r="AZ17" s="95"/>
      <c r="BA17" s="95"/>
      <c r="BB17" s="95"/>
      <c r="BC17" s="95"/>
      <c r="BD17" s="97"/>
    </row>
    <row r="18" spans="1:76" s="93" customFormat="1" ht="28.5" customHeight="1" x14ac:dyDescent="0.3">
      <c r="A18" s="89"/>
      <c r="B18" s="90"/>
      <c r="C18" s="91"/>
      <c r="D18" s="164"/>
      <c r="E18" s="165"/>
      <c r="F18" s="165"/>
      <c r="G18" s="165"/>
      <c r="H18" s="165"/>
      <c r="I18" s="91"/>
      <c r="J18" s="164" t="s">
        <v>243</v>
      </c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6"/>
      <c r="AH18" s="167"/>
      <c r="AI18" s="167"/>
      <c r="AJ18" s="167"/>
      <c r="AK18" s="167"/>
      <c r="AL18" s="167"/>
      <c r="AM18" s="167"/>
      <c r="AN18" s="168">
        <f t="shared" ref="AN18" si="1">+AG18*1.21</f>
        <v>0</v>
      </c>
      <c r="AO18" s="169"/>
      <c r="AP18" s="169"/>
      <c r="AQ18" s="92"/>
      <c r="AS18" s="94" t="e">
        <f>'030 - Rozšíření počítárny...'!#REF!</f>
        <v>#REF!</v>
      </c>
      <c r="AT18" s="95" t="e">
        <f>ROUND(SUM($AV$15:$AW$15),2)</f>
        <v>#REF!</v>
      </c>
      <c r="AU18" s="96" t="e">
        <f>'030 - Rozšíření počítárny...'!$V$60</f>
        <v>#REF!</v>
      </c>
      <c r="AV18" s="95" t="e">
        <f>'030 - Rozšíření počítárny...'!#REF!</f>
        <v>#REF!</v>
      </c>
      <c r="AW18" s="95" t="e">
        <f>'030 - Rozšíření počítárny...'!#REF!</f>
        <v>#REF!</v>
      </c>
      <c r="AX18" s="95" t="e">
        <f>'030 - Rozšíření počítárny...'!#REF!</f>
        <v>#REF!</v>
      </c>
      <c r="AY18" s="95" t="e">
        <f>'030 - Rozšíření počítárny...'!#REF!</f>
        <v>#REF!</v>
      </c>
      <c r="AZ18" s="95" t="e">
        <f>'030 - Rozšíření počítárny...'!#REF!</f>
        <v>#REF!</v>
      </c>
      <c r="BA18" s="95" t="e">
        <f>'030 - Rozšíření počítárny...'!#REF!</f>
        <v>#REF!</v>
      </c>
      <c r="BB18" s="95" t="e">
        <f>'030 - Rozšíření počítárny...'!#REF!</f>
        <v>#REF!</v>
      </c>
      <c r="BC18" s="95" t="e">
        <f>'030 - Rozšíření počítárny...'!#REF!</f>
        <v>#REF!</v>
      </c>
      <c r="BD18" s="97" t="e">
        <f>'030 - Rozšíření počítárny...'!#REF!</f>
        <v>#REF!</v>
      </c>
      <c r="BT18" s="93" t="s">
        <v>4</v>
      </c>
      <c r="BU18" s="93" t="s">
        <v>37</v>
      </c>
      <c r="BV18" s="93" t="s">
        <v>34</v>
      </c>
      <c r="BW18" s="93" t="s">
        <v>35</v>
      </c>
      <c r="BX18" s="93" t="s">
        <v>36</v>
      </c>
    </row>
    <row r="19" spans="1:76" s="1" customFormat="1" ht="14.25" customHeight="1" x14ac:dyDescent="0.3">
      <c r="B19" s="99"/>
      <c r="AQ19" s="100"/>
    </row>
    <row r="20" spans="1:76" s="7" customFormat="1" ht="30.75" customHeight="1" x14ac:dyDescent="0.3">
      <c r="B20" s="53"/>
      <c r="C20" s="84" t="s">
        <v>38</v>
      </c>
      <c r="AG20" s="182">
        <f>'030 - Rozšíření počítárny...'!N42</f>
        <v>0</v>
      </c>
      <c r="AH20" s="182"/>
      <c r="AI20" s="182"/>
      <c r="AJ20" s="182"/>
      <c r="AK20" s="182"/>
      <c r="AL20" s="182"/>
      <c r="AM20" s="182"/>
      <c r="AN20" s="182">
        <f>+AG20*1.21</f>
        <v>0</v>
      </c>
      <c r="AO20" s="182"/>
      <c r="AP20" s="182"/>
      <c r="AQ20" s="54"/>
      <c r="AS20" s="79" t="s">
        <v>39</v>
      </c>
      <c r="AT20" s="80" t="s">
        <v>40</v>
      </c>
      <c r="AU20" s="80" t="s">
        <v>11</v>
      </c>
      <c r="AV20" s="81" t="s">
        <v>20</v>
      </c>
      <c r="AW20" s="82"/>
    </row>
    <row r="21" spans="1:76" s="7" customFormat="1" ht="12" customHeight="1" x14ac:dyDescent="0.3">
      <c r="B21" s="53"/>
      <c r="AQ21" s="54"/>
      <c r="AS21" s="75"/>
      <c r="AT21" s="75"/>
      <c r="AU21" s="75"/>
      <c r="AV21" s="75"/>
    </row>
    <row r="22" spans="1:76" s="7" customFormat="1" ht="30.75" customHeight="1" x14ac:dyDescent="0.3">
      <c r="B22" s="53"/>
      <c r="C22" s="101" t="s">
        <v>41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83">
        <f>ROUND($AG$14+$AG$20,2)</f>
        <v>835180</v>
      </c>
      <c r="AH22" s="184"/>
      <c r="AI22" s="184"/>
      <c r="AJ22" s="184"/>
      <c r="AK22" s="184"/>
      <c r="AL22" s="184"/>
      <c r="AM22" s="184"/>
      <c r="AN22" s="183">
        <f>ROUND($AN$14+$AN$20,2)</f>
        <v>1010567.8</v>
      </c>
      <c r="AO22" s="184"/>
      <c r="AP22" s="184"/>
      <c r="AQ22" s="54"/>
    </row>
    <row r="23" spans="1:76" s="7" customFormat="1" ht="7.5" customHeight="1" x14ac:dyDescent="0.3"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7"/>
      <c r="AH23" s="104"/>
      <c r="AI23" s="104"/>
      <c r="AJ23" s="104"/>
      <c r="AK23" s="104"/>
      <c r="AL23" s="104"/>
      <c r="AM23" s="104"/>
      <c r="AN23" s="104"/>
      <c r="AO23" s="104"/>
      <c r="AP23" s="104"/>
      <c r="AQ23" s="105"/>
    </row>
  </sheetData>
  <sheetProtection password="CC06" sheet="1" objects="1" scenarios="1"/>
  <mergeCells count="29">
    <mergeCell ref="L5:AO5"/>
    <mergeCell ref="C3:AP3"/>
    <mergeCell ref="J15:AF15"/>
    <mergeCell ref="AG14:AM14"/>
    <mergeCell ref="AN14:AP14"/>
    <mergeCell ref="AM9:AP9"/>
    <mergeCell ref="C12:G12"/>
    <mergeCell ref="I12:AF12"/>
    <mergeCell ref="AG12:AM12"/>
    <mergeCell ref="AG20:AM20"/>
    <mergeCell ref="AN20:AP20"/>
    <mergeCell ref="AG22:AM22"/>
    <mergeCell ref="AN22:AP22"/>
    <mergeCell ref="AN15:AP15"/>
    <mergeCell ref="AG15:AM15"/>
    <mergeCell ref="D18:H18"/>
    <mergeCell ref="J18:AF18"/>
    <mergeCell ref="AG18:AM18"/>
    <mergeCell ref="AN18:AP18"/>
    <mergeCell ref="AS9:AT11"/>
    <mergeCell ref="AM10:AQ10"/>
    <mergeCell ref="J16:AF16"/>
    <mergeCell ref="AG16:AM16"/>
    <mergeCell ref="AN16:AP16"/>
    <mergeCell ref="J17:AF17"/>
    <mergeCell ref="AG17:AM17"/>
    <mergeCell ref="AN17:AP17"/>
    <mergeCell ref="AN12:AP12"/>
    <mergeCell ref="D15:H15"/>
  </mergeCells>
  <pageMargins left="0.59027779102325439" right="0.59027779102325439" top="0.59027779102325439" bottom="0.59027779102325439" header="0" footer="0"/>
  <pageSetup paperSize="9" scale="87" fitToHeight="100" orientation="portrait" blackAndWhite="1" r:id="rId1"/>
  <headerFooter alignWithMargins="0"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196"/>
  <sheetViews>
    <sheetView showGridLines="0" tabSelected="1" zoomScale="85" zoomScaleNormal="85" zoomScaleSheetLayoutView="100" workbookViewId="0">
      <pane ySplit="1" topLeftCell="A62" activePane="bottomLeft" state="frozenSplit"/>
      <selection pane="bottomLeft" activeCell="N63" sqref="N63:Q63"/>
    </sheetView>
  </sheetViews>
  <sheetFormatPr defaultColWidth="10.5" defaultRowHeight="14.25" customHeight="1" x14ac:dyDescent="0.3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7" width="11.1640625" style="1" customWidth="1"/>
    <col min="8" max="8" width="12.5" style="1" customWidth="1"/>
    <col min="9" max="9" width="16.6640625" style="1" customWidth="1"/>
    <col min="10" max="10" width="5.1640625" style="1" customWidth="1"/>
    <col min="11" max="11" width="11.5" style="1" customWidth="1"/>
    <col min="12" max="12" width="12" style="1" customWidth="1"/>
    <col min="13" max="14" width="6" style="1" customWidth="1"/>
    <col min="15" max="15" width="2" style="1" customWidth="1"/>
    <col min="16" max="16" width="12.5" style="1" customWidth="1"/>
    <col min="17" max="17" width="4.1640625" style="1" customWidth="1"/>
    <col min="18" max="18" width="1.6640625" style="1" customWidth="1"/>
    <col min="19" max="19" width="29.6640625" style="1" hidden="1" customWidth="1"/>
    <col min="20" max="20" width="16.33203125" style="1" hidden="1" customWidth="1"/>
    <col min="21" max="21" width="12.33203125" style="1" hidden="1" customWidth="1"/>
    <col min="22" max="22" width="16.33203125" style="1" hidden="1" customWidth="1"/>
    <col min="23" max="23" width="12.1640625" style="1" hidden="1" customWidth="1"/>
    <col min="24" max="24" width="15" style="1" hidden="1" customWidth="1"/>
    <col min="25" max="25" width="11" style="1" hidden="1" customWidth="1"/>
    <col min="26" max="26" width="15" style="1" hidden="1" customWidth="1"/>
    <col min="27" max="27" width="12.83203125" style="1" customWidth="1"/>
    <col min="28" max="28" width="11" style="1" customWidth="1"/>
    <col min="29" max="29" width="15" style="1" customWidth="1"/>
    <col min="30" max="30" width="16.33203125" style="1" customWidth="1"/>
    <col min="31" max="42" width="10.5" style="106" customWidth="1"/>
    <col min="43" max="63" width="10.5" style="1" hidden="1" customWidth="1"/>
    <col min="64" max="16384" width="10.5" style="106"/>
  </cols>
  <sheetData>
    <row r="2" spans="2:46" s="7" customFormat="1" ht="7.5" customHeight="1" x14ac:dyDescent="0.3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2:46" s="7" customFormat="1" ht="37.5" customHeight="1" x14ac:dyDescent="0.3">
      <c r="B3" s="53"/>
      <c r="C3" s="186" t="s">
        <v>44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54"/>
    </row>
    <row r="4" spans="2:46" s="7" customFormat="1" ht="7.5" customHeight="1" x14ac:dyDescent="0.3">
      <c r="B4" s="53"/>
      <c r="R4" s="54"/>
    </row>
    <row r="5" spans="2:46" s="7" customFormat="1" ht="37.5" customHeight="1" x14ac:dyDescent="0.3">
      <c r="B5" s="53"/>
      <c r="C5" s="55" t="s">
        <v>2</v>
      </c>
      <c r="F5" s="185" t="s">
        <v>244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R5" s="54"/>
    </row>
    <row r="6" spans="2:46" s="7" customFormat="1" ht="7.5" customHeight="1" x14ac:dyDescent="0.3">
      <c r="B6" s="53"/>
      <c r="R6" s="54"/>
    </row>
    <row r="7" spans="2:46" s="7" customFormat="1" ht="18.75" customHeight="1" x14ac:dyDescent="0.3">
      <c r="B7" s="53"/>
      <c r="C7" s="56" t="s">
        <v>5</v>
      </c>
      <c r="F7" s="57" t="s">
        <v>247</v>
      </c>
      <c r="K7" s="56" t="s">
        <v>6</v>
      </c>
      <c r="M7" s="232" t="s">
        <v>245</v>
      </c>
      <c r="N7" s="233"/>
      <c r="O7" s="233"/>
      <c r="P7" s="233"/>
      <c r="R7" s="54"/>
    </row>
    <row r="8" spans="2:46" s="7" customFormat="1" ht="7.5" customHeight="1" x14ac:dyDescent="0.3">
      <c r="B8" s="53"/>
      <c r="R8" s="54"/>
    </row>
    <row r="9" spans="2:46" s="7" customFormat="1" ht="15.75" customHeight="1" x14ac:dyDescent="0.3">
      <c r="B9" s="53"/>
      <c r="C9" s="56" t="s">
        <v>7</v>
      </c>
      <c r="F9" s="57" t="s">
        <v>246</v>
      </c>
      <c r="K9" s="56" t="s">
        <v>9</v>
      </c>
      <c r="M9" s="188" t="s">
        <v>248</v>
      </c>
      <c r="N9" s="212"/>
      <c r="O9" s="212"/>
      <c r="P9" s="212"/>
      <c r="Q9" s="212"/>
      <c r="R9" s="54"/>
    </row>
    <row r="10" spans="2:46" s="7" customFormat="1" ht="15" customHeight="1" x14ac:dyDescent="0.3">
      <c r="B10" s="53"/>
      <c r="C10" s="56" t="s">
        <v>8</v>
      </c>
      <c r="F10" s="162"/>
      <c r="G10" s="108"/>
      <c r="H10" s="108"/>
      <c r="I10" s="108"/>
      <c r="K10" s="56" t="s">
        <v>10</v>
      </c>
      <c r="M10" s="188"/>
      <c r="N10" s="212"/>
      <c r="O10" s="212"/>
      <c r="P10" s="212"/>
      <c r="Q10" s="212"/>
      <c r="R10" s="54"/>
    </row>
    <row r="11" spans="2:46" s="7" customFormat="1" ht="11.25" customHeight="1" x14ac:dyDescent="0.3">
      <c r="B11" s="53"/>
      <c r="R11" s="54"/>
    </row>
    <row r="12" spans="2:46" s="7" customFormat="1" ht="30" customHeight="1" x14ac:dyDescent="0.3">
      <c r="B12" s="53"/>
      <c r="C12" s="242" t="s">
        <v>45</v>
      </c>
      <c r="D12" s="184"/>
      <c r="E12" s="184"/>
      <c r="F12" s="184"/>
      <c r="G12" s="184"/>
      <c r="H12" s="102"/>
      <c r="I12" s="102"/>
      <c r="J12" s="102"/>
      <c r="K12" s="102"/>
      <c r="L12" s="102"/>
      <c r="M12" s="102"/>
      <c r="N12" s="242" t="s">
        <v>46</v>
      </c>
      <c r="O12" s="212"/>
      <c r="P12" s="212"/>
      <c r="Q12" s="212"/>
      <c r="R12" s="54"/>
    </row>
    <row r="13" spans="2:46" s="7" customFormat="1" ht="11.25" customHeight="1" x14ac:dyDescent="0.3">
      <c r="B13" s="53"/>
      <c r="R13" s="54"/>
    </row>
    <row r="14" spans="2:46" s="7" customFormat="1" ht="30" customHeight="1" x14ac:dyDescent="0.3">
      <c r="B14" s="53"/>
      <c r="C14" s="84" t="s">
        <v>47</v>
      </c>
      <c r="N14" s="182">
        <f>+N15+N21+N36</f>
        <v>0</v>
      </c>
      <c r="O14" s="212"/>
      <c r="P14" s="212"/>
      <c r="Q14" s="212"/>
      <c r="R14" s="54"/>
      <c r="AT14" s="7" t="s">
        <v>48</v>
      </c>
    </row>
    <row r="15" spans="2:46" s="110" customFormat="1" ht="25.5" customHeight="1" x14ac:dyDescent="0.3">
      <c r="B15" s="109"/>
      <c r="D15" s="111" t="s">
        <v>49</v>
      </c>
      <c r="N15" s="237">
        <f>+N16+N18+N19+N20</f>
        <v>0</v>
      </c>
      <c r="O15" s="238"/>
      <c r="P15" s="238"/>
      <c r="Q15" s="238"/>
      <c r="R15" s="112"/>
    </row>
    <row r="16" spans="2:46" s="114" customFormat="1" ht="21" customHeight="1" x14ac:dyDescent="0.3">
      <c r="B16" s="113"/>
      <c r="D16" s="115" t="s">
        <v>50</v>
      </c>
      <c r="N16" s="239">
        <f>ROUND($N$62,2)</f>
        <v>0</v>
      </c>
      <c r="O16" s="238"/>
      <c r="P16" s="238"/>
      <c r="Q16" s="238"/>
      <c r="R16" s="116"/>
    </row>
    <row r="17" spans="2:18" s="114" customFormat="1" ht="15.75" customHeight="1" x14ac:dyDescent="0.3">
      <c r="B17" s="113"/>
      <c r="D17" s="115" t="s">
        <v>51</v>
      </c>
      <c r="N17" s="239">
        <f>ROUND($N$64,2)</f>
        <v>0</v>
      </c>
      <c r="O17" s="238"/>
      <c r="P17" s="238"/>
      <c r="Q17" s="238"/>
      <c r="R17" s="116"/>
    </row>
    <row r="18" spans="2:18" s="114" customFormat="1" ht="21" customHeight="1" x14ac:dyDescent="0.3">
      <c r="B18" s="113"/>
      <c r="D18" s="115" t="s">
        <v>52</v>
      </c>
      <c r="N18" s="239">
        <f>ROUND($N$67,2)</f>
        <v>0</v>
      </c>
      <c r="O18" s="238"/>
      <c r="P18" s="238"/>
      <c r="Q18" s="238"/>
      <c r="R18" s="116"/>
    </row>
    <row r="19" spans="2:18" s="114" customFormat="1" ht="21" customHeight="1" x14ac:dyDescent="0.3">
      <c r="B19" s="113"/>
      <c r="D19" s="115" t="s">
        <v>53</v>
      </c>
      <c r="N19" s="239">
        <f>ROUND($N$74,2)</f>
        <v>0</v>
      </c>
      <c r="O19" s="238"/>
      <c r="P19" s="238"/>
      <c r="Q19" s="238"/>
      <c r="R19" s="116"/>
    </row>
    <row r="20" spans="2:18" s="114" customFormat="1" ht="21" customHeight="1" x14ac:dyDescent="0.3">
      <c r="B20" s="113"/>
      <c r="D20" s="115" t="s">
        <v>54</v>
      </c>
      <c r="N20" s="239">
        <f>ROUND($N$88,2)</f>
        <v>0</v>
      </c>
      <c r="O20" s="238"/>
      <c r="P20" s="238"/>
      <c r="Q20" s="238"/>
      <c r="R20" s="116"/>
    </row>
    <row r="21" spans="2:18" s="110" customFormat="1" ht="25.5" customHeight="1" x14ac:dyDescent="0.3">
      <c r="B21" s="109"/>
      <c r="D21" s="111" t="s">
        <v>55</v>
      </c>
      <c r="N21" s="237">
        <f>SUM(N22:Q35)</f>
        <v>0</v>
      </c>
      <c r="O21" s="238"/>
      <c r="P21" s="238"/>
      <c r="Q21" s="238"/>
      <c r="R21" s="112"/>
    </row>
    <row r="22" spans="2:18" s="114" customFormat="1" ht="21" customHeight="1" x14ac:dyDescent="0.3">
      <c r="B22" s="113"/>
      <c r="D22" s="115" t="s">
        <v>56</v>
      </c>
      <c r="N22" s="239">
        <f>ROUND($N$96,2)</f>
        <v>0</v>
      </c>
      <c r="O22" s="238"/>
      <c r="P22" s="238"/>
      <c r="Q22" s="238"/>
      <c r="R22" s="116"/>
    </row>
    <row r="23" spans="2:18" s="114" customFormat="1" ht="21" customHeight="1" x14ac:dyDescent="0.3">
      <c r="B23" s="113"/>
      <c r="D23" s="115" t="s">
        <v>57</v>
      </c>
      <c r="N23" s="239">
        <f>ROUND($N$98,2)</f>
        <v>0</v>
      </c>
      <c r="O23" s="238"/>
      <c r="P23" s="238"/>
      <c r="Q23" s="238"/>
      <c r="R23" s="116"/>
    </row>
    <row r="24" spans="2:18" s="114" customFormat="1" ht="21" customHeight="1" x14ac:dyDescent="0.3">
      <c r="B24" s="113"/>
      <c r="D24" s="115" t="s">
        <v>58</v>
      </c>
      <c r="N24" s="239">
        <f>ROUND($N$107,2)</f>
        <v>0</v>
      </c>
      <c r="O24" s="238"/>
      <c r="P24" s="238"/>
      <c r="Q24" s="238"/>
      <c r="R24" s="116"/>
    </row>
    <row r="25" spans="2:18" s="114" customFormat="1" ht="21" customHeight="1" x14ac:dyDescent="0.3">
      <c r="B25" s="113"/>
      <c r="D25" s="115" t="s">
        <v>59</v>
      </c>
      <c r="N25" s="239">
        <f>ROUND($N$112,2)</f>
        <v>0</v>
      </c>
      <c r="O25" s="238"/>
      <c r="P25" s="238"/>
      <c r="Q25" s="238"/>
      <c r="R25" s="116"/>
    </row>
    <row r="26" spans="2:18" s="114" customFormat="1" ht="21" customHeight="1" x14ac:dyDescent="0.3">
      <c r="B26" s="113"/>
      <c r="D26" s="115" t="s">
        <v>60</v>
      </c>
      <c r="N26" s="239">
        <f>ROUND($N$114,2)</f>
        <v>0</v>
      </c>
      <c r="O26" s="238"/>
      <c r="P26" s="238"/>
      <c r="Q26" s="238"/>
      <c r="R26" s="116"/>
    </row>
    <row r="27" spans="2:18" s="114" customFormat="1" ht="21" customHeight="1" x14ac:dyDescent="0.3">
      <c r="B27" s="113"/>
      <c r="D27" s="115" t="s">
        <v>61</v>
      </c>
      <c r="N27" s="239">
        <f>ROUND($N$116,2)</f>
        <v>0</v>
      </c>
      <c r="O27" s="238"/>
      <c r="P27" s="238"/>
      <c r="Q27" s="238"/>
      <c r="R27" s="116"/>
    </row>
    <row r="28" spans="2:18" s="114" customFormat="1" ht="21" customHeight="1" x14ac:dyDescent="0.3">
      <c r="B28" s="113"/>
      <c r="D28" s="115" t="s">
        <v>62</v>
      </c>
      <c r="N28" s="239">
        <f>ROUND($N$119,2)</f>
        <v>0</v>
      </c>
      <c r="O28" s="238"/>
      <c r="P28" s="238"/>
      <c r="Q28" s="238"/>
      <c r="R28" s="116"/>
    </row>
    <row r="29" spans="2:18" s="114" customFormat="1" ht="21" customHeight="1" x14ac:dyDescent="0.3">
      <c r="B29" s="113"/>
      <c r="D29" s="115" t="s">
        <v>63</v>
      </c>
      <c r="N29" s="239">
        <f>ROUND($N$126,2)</f>
        <v>0</v>
      </c>
      <c r="O29" s="238"/>
      <c r="P29" s="238"/>
      <c r="Q29" s="238"/>
      <c r="R29" s="116"/>
    </row>
    <row r="30" spans="2:18" s="114" customFormat="1" ht="21" customHeight="1" x14ac:dyDescent="0.3">
      <c r="B30" s="113"/>
      <c r="D30" s="115" t="s">
        <v>64</v>
      </c>
      <c r="N30" s="239">
        <f>ROUND($N$144,2)</f>
        <v>0</v>
      </c>
      <c r="O30" s="238"/>
      <c r="P30" s="238"/>
      <c r="Q30" s="238"/>
      <c r="R30" s="116"/>
    </row>
    <row r="31" spans="2:18" s="114" customFormat="1" ht="21" customHeight="1" x14ac:dyDescent="0.3">
      <c r="B31" s="113"/>
      <c r="D31" s="115" t="s">
        <v>65</v>
      </c>
      <c r="N31" s="239">
        <f>ROUND($N$156,2)</f>
        <v>0</v>
      </c>
      <c r="O31" s="238"/>
      <c r="P31" s="238"/>
      <c r="Q31" s="238"/>
      <c r="R31" s="116"/>
    </row>
    <row r="32" spans="2:18" s="114" customFormat="1" ht="21" customHeight="1" x14ac:dyDescent="0.3">
      <c r="B32" s="113"/>
      <c r="D32" s="115" t="s">
        <v>66</v>
      </c>
      <c r="N32" s="239">
        <f>ROUND($N$160,2)</f>
        <v>0</v>
      </c>
      <c r="O32" s="238"/>
      <c r="P32" s="238"/>
      <c r="Q32" s="238"/>
      <c r="R32" s="116"/>
    </row>
    <row r="33" spans="2:20" s="114" customFormat="1" ht="21" customHeight="1" x14ac:dyDescent="0.3">
      <c r="B33" s="113"/>
      <c r="D33" s="115" t="s">
        <v>67</v>
      </c>
      <c r="N33" s="239">
        <f>ROUND($N$170,2)</f>
        <v>0</v>
      </c>
      <c r="O33" s="238"/>
      <c r="P33" s="238"/>
      <c r="Q33" s="238"/>
      <c r="R33" s="116"/>
    </row>
    <row r="34" spans="2:20" s="114" customFormat="1" ht="21" customHeight="1" x14ac:dyDescent="0.3">
      <c r="B34" s="113"/>
      <c r="D34" s="115" t="s">
        <v>68</v>
      </c>
      <c r="N34" s="239">
        <f>ROUND($N$177,2)</f>
        <v>0</v>
      </c>
      <c r="O34" s="238"/>
      <c r="P34" s="238"/>
      <c r="Q34" s="238"/>
      <c r="R34" s="116"/>
    </row>
    <row r="35" spans="2:20" s="114" customFormat="1" ht="21" customHeight="1" x14ac:dyDescent="0.3">
      <c r="B35" s="113"/>
      <c r="D35" s="115" t="s">
        <v>69</v>
      </c>
      <c r="N35" s="239">
        <f>ROUND($N$181,2)</f>
        <v>0</v>
      </c>
      <c r="O35" s="238"/>
      <c r="P35" s="238"/>
      <c r="Q35" s="238"/>
      <c r="R35" s="116"/>
    </row>
    <row r="36" spans="2:20" s="110" customFormat="1" ht="25.5" customHeight="1" x14ac:dyDescent="0.3">
      <c r="B36" s="109"/>
      <c r="D36" s="111" t="s">
        <v>70</v>
      </c>
      <c r="N36" s="237">
        <f>SUM(N37:Q40)</f>
        <v>0</v>
      </c>
      <c r="O36" s="238"/>
      <c r="P36" s="238"/>
      <c r="Q36" s="238"/>
      <c r="R36" s="112"/>
    </row>
    <row r="37" spans="2:20" s="114" customFormat="1" ht="21" customHeight="1" x14ac:dyDescent="0.3">
      <c r="B37" s="113"/>
      <c r="D37" s="115" t="s">
        <v>71</v>
      </c>
      <c r="N37" s="239">
        <f>ROUND($N$186,2)</f>
        <v>0</v>
      </c>
      <c r="O37" s="238"/>
      <c r="P37" s="238"/>
      <c r="Q37" s="238"/>
      <c r="R37" s="116"/>
    </row>
    <row r="38" spans="2:20" s="114" customFormat="1" ht="21" customHeight="1" x14ac:dyDescent="0.3">
      <c r="B38" s="113"/>
      <c r="D38" s="115" t="s">
        <v>72</v>
      </c>
      <c r="N38" s="239">
        <f>ROUND($N$188,2)</f>
        <v>0</v>
      </c>
      <c r="O38" s="238"/>
      <c r="P38" s="238"/>
      <c r="Q38" s="238"/>
      <c r="R38" s="116"/>
    </row>
    <row r="39" spans="2:20" s="114" customFormat="1" ht="21" customHeight="1" x14ac:dyDescent="0.3">
      <c r="B39" s="113"/>
      <c r="D39" s="115" t="s">
        <v>73</v>
      </c>
      <c r="N39" s="239">
        <f>ROUND($N$190,2)</f>
        <v>0</v>
      </c>
      <c r="O39" s="238"/>
      <c r="P39" s="238"/>
      <c r="Q39" s="238"/>
      <c r="R39" s="116"/>
    </row>
    <row r="40" spans="2:20" s="114" customFormat="1" ht="21" customHeight="1" x14ac:dyDescent="0.3">
      <c r="B40" s="113"/>
      <c r="D40" s="115" t="s">
        <v>74</v>
      </c>
      <c r="N40" s="239">
        <f>ROUND($N$192,2)</f>
        <v>0</v>
      </c>
      <c r="O40" s="238"/>
      <c r="P40" s="238"/>
      <c r="Q40" s="238"/>
      <c r="R40" s="116"/>
    </row>
    <row r="41" spans="2:20" s="7" customFormat="1" ht="22.5" customHeight="1" x14ac:dyDescent="0.3">
      <c r="B41" s="53"/>
      <c r="R41" s="54"/>
    </row>
    <row r="42" spans="2:20" s="7" customFormat="1" ht="30" customHeight="1" x14ac:dyDescent="0.3">
      <c r="B42" s="53"/>
      <c r="C42" s="84" t="s">
        <v>75</v>
      </c>
      <c r="N42" s="240"/>
      <c r="O42" s="241"/>
      <c r="P42" s="241"/>
      <c r="Q42" s="241"/>
      <c r="R42" s="54"/>
      <c r="S42" s="30"/>
      <c r="T42" s="117" t="s">
        <v>11</v>
      </c>
    </row>
    <row r="43" spans="2:20" s="7" customFormat="1" ht="18.75" customHeight="1" x14ac:dyDescent="0.3">
      <c r="B43" s="53"/>
      <c r="R43" s="54"/>
    </row>
    <row r="44" spans="2:20" s="7" customFormat="1" ht="30" customHeight="1" x14ac:dyDescent="0.3">
      <c r="B44" s="53"/>
      <c r="C44" s="101" t="s">
        <v>41</v>
      </c>
      <c r="D44" s="102"/>
      <c r="E44" s="102"/>
      <c r="F44" s="102"/>
      <c r="G44" s="102"/>
      <c r="H44" s="102"/>
      <c r="I44" s="102"/>
      <c r="J44" s="102"/>
      <c r="K44" s="102"/>
      <c r="L44" s="183">
        <f>ROUND((N42+N14),2)</f>
        <v>0</v>
      </c>
      <c r="M44" s="184"/>
      <c r="N44" s="184"/>
      <c r="O44" s="184"/>
      <c r="P44" s="184"/>
      <c r="Q44" s="184"/>
      <c r="R44" s="54"/>
    </row>
    <row r="45" spans="2:20" s="7" customFormat="1" ht="7.5" customHeight="1" x14ac:dyDescent="0.3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5"/>
    </row>
    <row r="49" spans="2:63" s="7" customFormat="1" ht="7.5" customHeight="1" x14ac:dyDescent="0.3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2"/>
    </row>
    <row r="50" spans="2:63" s="7" customFormat="1" ht="37.5" customHeight="1" x14ac:dyDescent="0.3">
      <c r="B50" s="53"/>
      <c r="C50" s="186" t="s">
        <v>76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54"/>
    </row>
    <row r="51" spans="2:63" s="7" customFormat="1" ht="7.5" customHeight="1" x14ac:dyDescent="0.3">
      <c r="B51" s="53"/>
      <c r="R51" s="54"/>
    </row>
    <row r="52" spans="2:63" s="7" customFormat="1" ht="37.5" customHeight="1" x14ac:dyDescent="0.3">
      <c r="B52" s="53"/>
      <c r="C52" s="55" t="s">
        <v>2</v>
      </c>
      <c r="F52" s="185" t="s">
        <v>244</v>
      </c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R52" s="54"/>
    </row>
    <row r="53" spans="2:63" s="7" customFormat="1" ht="7.5" customHeight="1" x14ac:dyDescent="0.3">
      <c r="B53" s="53"/>
      <c r="R53" s="54"/>
    </row>
    <row r="54" spans="2:63" s="7" customFormat="1" ht="18.75" customHeight="1" x14ac:dyDescent="0.3">
      <c r="B54" s="53"/>
      <c r="C54" s="56" t="s">
        <v>5</v>
      </c>
      <c r="F54" s="57" t="s">
        <v>247</v>
      </c>
      <c r="K54" s="56" t="s">
        <v>6</v>
      </c>
      <c r="M54" s="232" t="s">
        <v>245</v>
      </c>
      <c r="N54" s="233"/>
      <c r="O54" s="233"/>
      <c r="P54" s="233"/>
      <c r="R54" s="54"/>
    </row>
    <row r="55" spans="2:63" s="7" customFormat="1" ht="7.5" customHeight="1" x14ac:dyDescent="0.3">
      <c r="B55" s="53"/>
      <c r="R55" s="54"/>
    </row>
    <row r="56" spans="2:63" s="7" customFormat="1" ht="15.75" customHeight="1" x14ac:dyDescent="0.3">
      <c r="B56" s="53"/>
      <c r="C56" s="56" t="s">
        <v>7</v>
      </c>
      <c r="F56" s="57" t="s">
        <v>246</v>
      </c>
      <c r="K56" s="56" t="s">
        <v>9</v>
      </c>
      <c r="M56" s="188" t="s">
        <v>248</v>
      </c>
      <c r="N56" s="212"/>
      <c r="O56" s="212"/>
      <c r="P56" s="212"/>
      <c r="Q56" s="212"/>
      <c r="R56" s="54"/>
    </row>
    <row r="57" spans="2:63" s="7" customFormat="1" ht="15" customHeight="1" x14ac:dyDescent="0.3">
      <c r="B57" s="53"/>
      <c r="C57" s="56" t="s">
        <v>8</v>
      </c>
      <c r="F57" s="162"/>
      <c r="G57" s="108"/>
      <c r="H57" s="108"/>
      <c r="I57" s="108"/>
      <c r="K57" s="56" t="s">
        <v>10</v>
      </c>
      <c r="M57" s="188"/>
      <c r="N57" s="212"/>
      <c r="O57" s="212"/>
      <c r="P57" s="212"/>
      <c r="Q57" s="212"/>
      <c r="R57" s="54"/>
    </row>
    <row r="58" spans="2:63" s="7" customFormat="1" ht="11.25" customHeight="1" x14ac:dyDescent="0.3">
      <c r="B58" s="53"/>
      <c r="R58" s="54"/>
    </row>
    <row r="59" spans="2:63" s="18" customFormat="1" ht="30" customHeight="1" x14ac:dyDescent="0.3">
      <c r="B59" s="59"/>
      <c r="C59" s="60" t="s">
        <v>77</v>
      </c>
      <c r="D59" s="16" t="s">
        <v>78</v>
      </c>
      <c r="E59" s="16" t="s">
        <v>15</v>
      </c>
      <c r="F59" s="234" t="s">
        <v>79</v>
      </c>
      <c r="G59" s="235"/>
      <c r="H59" s="235"/>
      <c r="I59" s="235"/>
      <c r="J59" s="16" t="s">
        <v>80</v>
      </c>
      <c r="K59" s="16" t="s">
        <v>81</v>
      </c>
      <c r="L59" s="234" t="s">
        <v>82</v>
      </c>
      <c r="M59" s="235"/>
      <c r="N59" s="234" t="s">
        <v>83</v>
      </c>
      <c r="O59" s="235"/>
      <c r="P59" s="235"/>
      <c r="Q59" s="236"/>
      <c r="R59" s="61"/>
      <c r="S59" s="79" t="s">
        <v>84</v>
      </c>
      <c r="T59" s="80" t="s">
        <v>11</v>
      </c>
      <c r="U59" s="80" t="s">
        <v>85</v>
      </c>
      <c r="V59" s="80" t="s">
        <v>86</v>
      </c>
      <c r="W59" s="80" t="s">
        <v>87</v>
      </c>
      <c r="X59" s="80" t="s">
        <v>88</v>
      </c>
      <c r="Y59" s="80" t="s">
        <v>89</v>
      </c>
      <c r="Z59" s="81" t="s">
        <v>90</v>
      </c>
    </row>
    <row r="60" spans="2:63" s="7" customFormat="1" ht="30" customHeight="1" x14ac:dyDescent="0.35">
      <c r="B60" s="53"/>
      <c r="C60" s="84" t="s">
        <v>43</v>
      </c>
      <c r="N60" s="211">
        <f>+N61+N95+N185</f>
        <v>0</v>
      </c>
      <c r="O60" s="212"/>
      <c r="P60" s="212"/>
      <c r="Q60" s="212"/>
      <c r="R60" s="54"/>
      <c r="S60" s="83"/>
      <c r="T60" s="75"/>
      <c r="U60" s="75"/>
      <c r="V60" s="118" t="e">
        <f>$V$61+$V$95+$V$185</f>
        <v>#REF!</v>
      </c>
      <c r="W60" s="75"/>
      <c r="X60" s="118" t="e">
        <f>$X$61+$X$95+$X$185</f>
        <v>#REF!</v>
      </c>
      <c r="Y60" s="75"/>
      <c r="Z60" s="119" t="e">
        <f>$Z$61+$Z$95+$Z$185</f>
        <v>#REF!</v>
      </c>
      <c r="AS60" s="7" t="s">
        <v>32</v>
      </c>
      <c r="AT60" s="7" t="s">
        <v>48</v>
      </c>
      <c r="BJ60" s="120" t="e">
        <f>$BJ$61+$BJ$95+$BJ$185</f>
        <v>#REF!</v>
      </c>
    </row>
    <row r="61" spans="2:63" s="62" customFormat="1" ht="37.5" customHeight="1" x14ac:dyDescent="0.35">
      <c r="B61" s="63"/>
      <c r="D61" s="121" t="s">
        <v>49</v>
      </c>
      <c r="N61" s="213">
        <f>N62+N64+N67+N74+N88</f>
        <v>0</v>
      </c>
      <c r="O61" s="191"/>
      <c r="P61" s="191"/>
      <c r="Q61" s="191"/>
      <c r="R61" s="65"/>
      <c r="S61" s="122"/>
      <c r="V61" s="123" t="e">
        <f>$V$62+$V$67+$V$74+$V$88</f>
        <v>#REF!</v>
      </c>
      <c r="X61" s="123" t="e">
        <f>$X$62+$X$67+$X$74+$X$88</f>
        <v>#REF!</v>
      </c>
      <c r="Z61" s="124" t="e">
        <f>$Z$62+$Z$67+$Z$74+$Z$88</f>
        <v>#REF!</v>
      </c>
      <c r="AQ61" s="125" t="s">
        <v>4</v>
      </c>
      <c r="AS61" s="125" t="s">
        <v>32</v>
      </c>
      <c r="AT61" s="125" t="s">
        <v>33</v>
      </c>
      <c r="AX61" s="125" t="s">
        <v>91</v>
      </c>
      <c r="BJ61" s="126" t="e">
        <f>$BJ$62+$BJ$67+$BJ$74+$BJ$88</f>
        <v>#REF!</v>
      </c>
    </row>
    <row r="62" spans="2:63" s="62" customFormat="1" ht="21" customHeight="1" x14ac:dyDescent="0.3">
      <c r="B62" s="63"/>
      <c r="D62" s="64" t="s">
        <v>50</v>
      </c>
      <c r="N62" s="190">
        <f>N63+N64</f>
        <v>0</v>
      </c>
      <c r="O62" s="191"/>
      <c r="P62" s="191"/>
      <c r="Q62" s="191"/>
      <c r="R62" s="65"/>
      <c r="S62" s="122"/>
      <c r="V62" s="123">
        <f>$V$63+$V$64</f>
        <v>10.70454</v>
      </c>
      <c r="X62" s="123">
        <f>$X$63+$X$64</f>
        <v>0.66667050000000005</v>
      </c>
      <c r="Z62" s="124">
        <f>$Z$63+$Z$64</f>
        <v>0</v>
      </c>
      <c r="AQ62" s="125" t="s">
        <v>4</v>
      </c>
      <c r="AS62" s="125" t="s">
        <v>32</v>
      </c>
      <c r="AT62" s="125" t="s">
        <v>4</v>
      </c>
      <c r="AX62" s="125" t="s">
        <v>91</v>
      </c>
      <c r="BJ62" s="126">
        <f>$BJ$63+$BJ$64</f>
        <v>0</v>
      </c>
    </row>
    <row r="63" spans="2:63" s="7" customFormat="1" ht="37.5" customHeight="1" x14ac:dyDescent="0.3">
      <c r="B63" s="53"/>
      <c r="C63" s="25">
        <v>1</v>
      </c>
      <c r="D63" s="25" t="s">
        <v>92</v>
      </c>
      <c r="E63" s="26" t="s">
        <v>93</v>
      </c>
      <c r="F63" s="192" t="s">
        <v>321</v>
      </c>
      <c r="G63" s="193"/>
      <c r="H63" s="193"/>
      <c r="I63" s="193"/>
      <c r="J63" s="127" t="s">
        <v>94</v>
      </c>
      <c r="K63" s="128">
        <v>0.22</v>
      </c>
      <c r="L63" s="194"/>
      <c r="M63" s="195"/>
      <c r="N63" s="196">
        <f>L63*K63</f>
        <v>0</v>
      </c>
      <c r="O63" s="193"/>
      <c r="P63" s="193"/>
      <c r="Q63" s="193"/>
      <c r="R63" s="54"/>
      <c r="S63" s="129"/>
      <c r="T63" s="130" t="s">
        <v>12</v>
      </c>
      <c r="U63" s="131">
        <v>36.9</v>
      </c>
      <c r="V63" s="131">
        <f>$U$63*$K$63</f>
        <v>8.1180000000000003</v>
      </c>
      <c r="W63" s="131">
        <v>1.0900000000000001</v>
      </c>
      <c r="X63" s="131">
        <f>$W$63*$K$63</f>
        <v>0.23980000000000001</v>
      </c>
      <c r="Y63" s="131">
        <v>0</v>
      </c>
      <c r="Z63" s="132">
        <f>$Y$63*$K$63</f>
        <v>0</v>
      </c>
      <c r="AQ63" s="7" t="s">
        <v>95</v>
      </c>
      <c r="AS63" s="7" t="s">
        <v>92</v>
      </c>
      <c r="AT63" s="7" t="s">
        <v>42</v>
      </c>
      <c r="AX63" s="7" t="s">
        <v>91</v>
      </c>
      <c r="BD63" s="133">
        <f>IF($T$63="základní",$N$63,0)</f>
        <v>0</v>
      </c>
      <c r="BE63" s="133">
        <f>IF($T$63="snížená",$N$63,0)</f>
        <v>0</v>
      </c>
      <c r="BF63" s="133">
        <f>IF($T$63="zákl. přenesená",$N$63,0)</f>
        <v>0</v>
      </c>
      <c r="BG63" s="133">
        <f>IF($T$63="sníž. přenesená",$N$63,0)</f>
        <v>0</v>
      </c>
      <c r="BH63" s="133">
        <f>IF($T$63="nulová",$N$63,0)</f>
        <v>0</v>
      </c>
      <c r="BI63" s="7" t="s">
        <v>4</v>
      </c>
      <c r="BJ63" s="133">
        <f>ROUND($L$63*$K$63,2)</f>
        <v>0</v>
      </c>
      <c r="BK63" s="7" t="s">
        <v>95</v>
      </c>
    </row>
    <row r="64" spans="2:63" s="62" customFormat="1" ht="23.25" customHeight="1" x14ac:dyDescent="0.3">
      <c r="B64" s="63"/>
      <c r="D64" s="64" t="s">
        <v>51</v>
      </c>
      <c r="L64" s="134"/>
      <c r="M64" s="134"/>
      <c r="N64" s="214">
        <f>N65+N66</f>
        <v>0</v>
      </c>
      <c r="O64" s="215"/>
      <c r="P64" s="215"/>
      <c r="Q64" s="215"/>
      <c r="R64" s="65"/>
      <c r="S64" s="122"/>
      <c r="V64" s="123">
        <f>SUM($V$65:$V$66)</f>
        <v>2.5865399999999998</v>
      </c>
      <c r="X64" s="123">
        <f>SUM($X$65:$X$66)</f>
        <v>0.42687050000000004</v>
      </c>
      <c r="Z64" s="124">
        <f>SUM($Z$65:$Z$66)</f>
        <v>0</v>
      </c>
      <c r="AQ64" s="125" t="s">
        <v>4</v>
      </c>
      <c r="AS64" s="125" t="s">
        <v>32</v>
      </c>
      <c r="AT64" s="125" t="s">
        <v>42</v>
      </c>
      <c r="AX64" s="125" t="s">
        <v>91</v>
      </c>
      <c r="BJ64" s="126">
        <f>SUM($BJ$65:$BJ$66)</f>
        <v>0</v>
      </c>
    </row>
    <row r="65" spans="2:63" s="7" customFormat="1" ht="33" customHeight="1" x14ac:dyDescent="0.3">
      <c r="B65" s="53"/>
      <c r="C65" s="25">
        <v>2</v>
      </c>
      <c r="D65" s="25" t="s">
        <v>92</v>
      </c>
      <c r="E65" s="26" t="s">
        <v>96</v>
      </c>
      <c r="F65" s="200" t="s">
        <v>276</v>
      </c>
      <c r="G65" s="193"/>
      <c r="H65" s="193"/>
      <c r="I65" s="193"/>
      <c r="J65" s="127" t="s">
        <v>97</v>
      </c>
      <c r="K65" s="128">
        <v>0.05</v>
      </c>
      <c r="L65" s="194"/>
      <c r="M65" s="195"/>
      <c r="N65" s="196">
        <f>L65*K65</f>
        <v>0</v>
      </c>
      <c r="O65" s="193"/>
      <c r="P65" s="193"/>
      <c r="Q65" s="193"/>
      <c r="R65" s="54"/>
      <c r="S65" s="129"/>
      <c r="T65" s="130" t="s">
        <v>12</v>
      </c>
      <c r="U65" s="131">
        <v>4.3419999999999996</v>
      </c>
      <c r="V65" s="131">
        <f>$U$65*$K$65</f>
        <v>0.21709999999999999</v>
      </c>
      <c r="W65" s="131">
        <v>1.07965</v>
      </c>
      <c r="X65" s="131">
        <f>$W$65*$K$65</f>
        <v>5.3982500000000003E-2</v>
      </c>
      <c r="Y65" s="131">
        <v>0</v>
      </c>
      <c r="Z65" s="132">
        <f>$Y$65*$K$65</f>
        <v>0</v>
      </c>
      <c r="AQ65" s="7" t="s">
        <v>95</v>
      </c>
      <c r="AS65" s="7" t="s">
        <v>92</v>
      </c>
      <c r="AT65" s="7" t="s">
        <v>98</v>
      </c>
      <c r="AX65" s="7" t="s">
        <v>91</v>
      </c>
      <c r="BD65" s="133">
        <f>IF($T$65="základní",$N$65,0)</f>
        <v>0</v>
      </c>
      <c r="BE65" s="133">
        <f>IF($T$65="snížená",$N$65,0)</f>
        <v>0</v>
      </c>
      <c r="BF65" s="133">
        <f>IF($T$65="zákl. přenesená",$N$65,0)</f>
        <v>0</v>
      </c>
      <c r="BG65" s="133">
        <f>IF($T$65="sníž. přenesená",$N$65,0)</f>
        <v>0</v>
      </c>
      <c r="BH65" s="133">
        <f>IF($T$65="nulová",$N$65,0)</f>
        <v>0</v>
      </c>
      <c r="BI65" s="7" t="s">
        <v>4</v>
      </c>
      <c r="BJ65" s="133">
        <f>ROUND($L$65*$K$65,2)</f>
        <v>0</v>
      </c>
      <c r="BK65" s="7" t="s">
        <v>95</v>
      </c>
    </row>
    <row r="66" spans="2:63" s="7" customFormat="1" ht="27" customHeight="1" x14ac:dyDescent="0.3">
      <c r="B66" s="53"/>
      <c r="C66" s="25">
        <v>3</v>
      </c>
      <c r="D66" s="25" t="s">
        <v>92</v>
      </c>
      <c r="E66" s="26" t="s">
        <v>99</v>
      </c>
      <c r="F66" s="200" t="s">
        <v>100</v>
      </c>
      <c r="G66" s="193"/>
      <c r="H66" s="193"/>
      <c r="I66" s="193"/>
      <c r="J66" s="127" t="s">
        <v>97</v>
      </c>
      <c r="K66" s="128">
        <v>0.16</v>
      </c>
      <c r="L66" s="194"/>
      <c r="M66" s="195"/>
      <c r="N66" s="196">
        <f>L66*K66</f>
        <v>0</v>
      </c>
      <c r="O66" s="193"/>
      <c r="P66" s="193"/>
      <c r="Q66" s="193"/>
      <c r="R66" s="54"/>
      <c r="S66" s="129"/>
      <c r="T66" s="130" t="s">
        <v>12</v>
      </c>
      <c r="U66" s="131">
        <v>14.808999999999999</v>
      </c>
      <c r="V66" s="131">
        <f>$U$66*$K$66</f>
        <v>2.36944</v>
      </c>
      <c r="W66" s="131">
        <v>2.3305500000000001</v>
      </c>
      <c r="X66" s="131">
        <f>$W$66*$K$66</f>
        <v>0.37288800000000005</v>
      </c>
      <c r="Y66" s="131">
        <v>0</v>
      </c>
      <c r="Z66" s="132">
        <f>$Y$66*$K$66</f>
        <v>0</v>
      </c>
      <c r="AQ66" s="7" t="s">
        <v>95</v>
      </c>
      <c r="AS66" s="7" t="s">
        <v>92</v>
      </c>
      <c r="AT66" s="7" t="s">
        <v>98</v>
      </c>
      <c r="AX66" s="7" t="s">
        <v>91</v>
      </c>
      <c r="BD66" s="133">
        <f>IF($T$66="základní",$N$66,0)</f>
        <v>0</v>
      </c>
      <c r="BE66" s="133">
        <f>IF($T$66="snížená",$N$66,0)</f>
        <v>0</v>
      </c>
      <c r="BF66" s="133">
        <f>IF($T$66="zákl. přenesená",$N$66,0)</f>
        <v>0</v>
      </c>
      <c r="BG66" s="133">
        <f>IF($T$66="sníž. přenesená",$N$66,0)</f>
        <v>0</v>
      </c>
      <c r="BH66" s="133">
        <f>IF($T$66="nulová",$N$66,0)</f>
        <v>0</v>
      </c>
      <c r="BI66" s="7" t="s">
        <v>4</v>
      </c>
      <c r="BJ66" s="133">
        <f>ROUND($L$66*$K$66,2)</f>
        <v>0</v>
      </c>
      <c r="BK66" s="7" t="s">
        <v>95</v>
      </c>
    </row>
    <row r="67" spans="2:63" s="62" customFormat="1" ht="30.75" customHeight="1" x14ac:dyDescent="0.3">
      <c r="B67" s="63"/>
      <c r="D67" s="64" t="s">
        <v>52</v>
      </c>
      <c r="L67" s="134"/>
      <c r="M67" s="134"/>
      <c r="N67" s="190">
        <f>SUM(N68:Q73)</f>
        <v>0</v>
      </c>
      <c r="O67" s="191"/>
      <c r="P67" s="191"/>
      <c r="Q67" s="191"/>
      <c r="R67" s="65"/>
      <c r="S67" s="122"/>
      <c r="V67" s="123" t="e">
        <f>SUM($V$68:$V$73)</f>
        <v>#REF!</v>
      </c>
      <c r="X67" s="123" t="e">
        <f>SUM($X$68:$X$73)</f>
        <v>#REF!</v>
      </c>
      <c r="Z67" s="124" t="e">
        <f>SUM($Z$68:$Z$73)</f>
        <v>#REF!</v>
      </c>
      <c r="AQ67" s="125" t="s">
        <v>4</v>
      </c>
      <c r="AS67" s="125" t="s">
        <v>32</v>
      </c>
      <c r="AT67" s="125" t="s">
        <v>4</v>
      </c>
      <c r="AX67" s="125" t="s">
        <v>91</v>
      </c>
      <c r="BJ67" s="126" t="e">
        <f>SUM($BJ$68:$BJ$73)</f>
        <v>#REF!</v>
      </c>
    </row>
    <row r="68" spans="2:63" s="7" customFormat="1" ht="15.75" customHeight="1" x14ac:dyDescent="0.3">
      <c r="B68" s="53"/>
      <c r="C68" s="25">
        <v>4</v>
      </c>
      <c r="D68" s="25" t="s">
        <v>92</v>
      </c>
      <c r="E68" s="26" t="s">
        <v>101</v>
      </c>
      <c r="F68" s="200" t="s">
        <v>102</v>
      </c>
      <c r="G68" s="193"/>
      <c r="H68" s="193"/>
      <c r="I68" s="193"/>
      <c r="J68" s="127" t="s">
        <v>103</v>
      </c>
      <c r="K68" s="128">
        <v>10</v>
      </c>
      <c r="L68" s="194"/>
      <c r="M68" s="195"/>
      <c r="N68" s="196">
        <f t="shared" ref="N68:N72" si="0">L68*K68</f>
        <v>0</v>
      </c>
      <c r="O68" s="193"/>
      <c r="P68" s="193"/>
      <c r="Q68" s="193"/>
      <c r="R68" s="54"/>
      <c r="S68" s="129"/>
      <c r="T68" s="130" t="s">
        <v>12</v>
      </c>
      <c r="U68" s="131">
        <v>0.218</v>
      </c>
      <c r="V68" s="131">
        <f>$U$68*$K$68</f>
        <v>2.1800000000000002</v>
      </c>
      <c r="W68" s="131">
        <v>2E-3</v>
      </c>
      <c r="X68" s="131">
        <f>$W$68*$K$68</f>
        <v>0.02</v>
      </c>
      <c r="Y68" s="131">
        <v>0</v>
      </c>
      <c r="Z68" s="132">
        <f>$Y$68*$K$68</f>
        <v>0</v>
      </c>
      <c r="AQ68" s="7" t="s">
        <v>95</v>
      </c>
      <c r="AS68" s="7" t="s">
        <v>92</v>
      </c>
      <c r="AT68" s="7" t="s">
        <v>42</v>
      </c>
      <c r="AX68" s="7" t="s">
        <v>91</v>
      </c>
      <c r="BD68" s="133">
        <f>IF($T$68="základní",$N$68,0)</f>
        <v>0</v>
      </c>
      <c r="BE68" s="133">
        <f>IF($T$68="snížená",$N$68,0)</f>
        <v>0</v>
      </c>
      <c r="BF68" s="133">
        <f>IF($T$68="zákl. přenesená",$N$68,0)</f>
        <v>0</v>
      </c>
      <c r="BG68" s="133">
        <f>IF($T$68="sníž. přenesená",$N$68,0)</f>
        <v>0</v>
      </c>
      <c r="BH68" s="133">
        <f>IF($T$68="nulová",$N$68,0)</f>
        <v>0</v>
      </c>
      <c r="BI68" s="7" t="s">
        <v>4</v>
      </c>
      <c r="BJ68" s="133">
        <f>ROUND($L$68*$K$68,2)</f>
        <v>0</v>
      </c>
      <c r="BK68" s="7" t="s">
        <v>95</v>
      </c>
    </row>
    <row r="69" spans="2:63" s="7" customFormat="1" ht="27" customHeight="1" x14ac:dyDescent="0.3">
      <c r="B69" s="53"/>
      <c r="C69" s="25">
        <v>5</v>
      </c>
      <c r="D69" s="25" t="s">
        <v>92</v>
      </c>
      <c r="E69" s="26" t="s">
        <v>104</v>
      </c>
      <c r="F69" s="200" t="s">
        <v>105</v>
      </c>
      <c r="G69" s="193"/>
      <c r="H69" s="193"/>
      <c r="I69" s="193"/>
      <c r="J69" s="127" t="s">
        <v>106</v>
      </c>
      <c r="K69" s="128">
        <v>6</v>
      </c>
      <c r="L69" s="194"/>
      <c r="M69" s="195"/>
      <c r="N69" s="196">
        <f t="shared" si="0"/>
        <v>0</v>
      </c>
      <c r="O69" s="193"/>
      <c r="P69" s="193"/>
      <c r="Q69" s="193"/>
      <c r="R69" s="54"/>
      <c r="S69" s="129"/>
      <c r="T69" s="130" t="s">
        <v>12</v>
      </c>
      <c r="U69" s="131">
        <v>0.86599999999999999</v>
      </c>
      <c r="V69" s="131">
        <f>$U$69*$K$69</f>
        <v>5.1959999999999997</v>
      </c>
      <c r="W69" s="131">
        <v>5.11E-2</v>
      </c>
      <c r="X69" s="131">
        <f>$W$69*$K$69</f>
        <v>0.30659999999999998</v>
      </c>
      <c r="Y69" s="131">
        <v>0</v>
      </c>
      <c r="Z69" s="132">
        <f>$Y$69*$K$69</f>
        <v>0</v>
      </c>
      <c r="AQ69" s="7" t="s">
        <v>95</v>
      </c>
      <c r="AS69" s="7" t="s">
        <v>92</v>
      </c>
      <c r="AT69" s="7" t="s">
        <v>42</v>
      </c>
      <c r="AX69" s="7" t="s">
        <v>91</v>
      </c>
      <c r="BD69" s="133">
        <f>IF($T$69="základní",$N$69,0)</f>
        <v>0</v>
      </c>
      <c r="BE69" s="133">
        <f>IF($T$69="snížená",$N$69,0)</f>
        <v>0</v>
      </c>
      <c r="BF69" s="133">
        <f>IF($T$69="zákl. přenesená",$N$69,0)</f>
        <v>0</v>
      </c>
      <c r="BG69" s="133">
        <f>IF($T$69="sníž. přenesená",$N$69,0)</f>
        <v>0</v>
      </c>
      <c r="BH69" s="133">
        <f>IF($T$69="nulová",$N$69,0)</f>
        <v>0</v>
      </c>
      <c r="BI69" s="7" t="s">
        <v>4</v>
      </c>
      <c r="BJ69" s="133">
        <f>ROUND($L$69*$K$69,2)</f>
        <v>0</v>
      </c>
      <c r="BK69" s="7" t="s">
        <v>95</v>
      </c>
    </row>
    <row r="70" spans="2:63" s="7" customFormat="1" ht="15.75" customHeight="1" x14ac:dyDescent="0.3">
      <c r="B70" s="53"/>
      <c r="C70" s="25">
        <v>6</v>
      </c>
      <c r="D70" s="25" t="s">
        <v>92</v>
      </c>
      <c r="E70" s="26" t="s">
        <v>107</v>
      </c>
      <c r="F70" s="200" t="s">
        <v>108</v>
      </c>
      <c r="G70" s="193"/>
      <c r="H70" s="193"/>
      <c r="I70" s="193"/>
      <c r="J70" s="127" t="s">
        <v>103</v>
      </c>
      <c r="K70" s="128">
        <v>74</v>
      </c>
      <c r="L70" s="194"/>
      <c r="M70" s="195"/>
      <c r="N70" s="196">
        <f t="shared" si="0"/>
        <v>0</v>
      </c>
      <c r="O70" s="193"/>
      <c r="P70" s="193"/>
      <c r="Q70" s="193"/>
      <c r="R70" s="54"/>
      <c r="S70" s="129"/>
      <c r="T70" s="130" t="s">
        <v>12</v>
      </c>
      <c r="U70" s="131">
        <v>0.04</v>
      </c>
      <c r="V70" s="131">
        <f>$U$70*$K$70</f>
        <v>2.96</v>
      </c>
      <c r="W70" s="131">
        <v>1.2E-4</v>
      </c>
      <c r="X70" s="131">
        <f>$W$70*$K$70</f>
        <v>8.8800000000000007E-3</v>
      </c>
      <c r="Y70" s="131">
        <v>0</v>
      </c>
      <c r="Z70" s="132">
        <f>$Y$70*$K$70</f>
        <v>0</v>
      </c>
      <c r="AQ70" s="7" t="s">
        <v>95</v>
      </c>
      <c r="AS70" s="7" t="s">
        <v>92</v>
      </c>
      <c r="AT70" s="7" t="s">
        <v>42</v>
      </c>
      <c r="AX70" s="7" t="s">
        <v>91</v>
      </c>
      <c r="BD70" s="133">
        <f>IF($T$70="základní",$N$70,0)</f>
        <v>0</v>
      </c>
      <c r="BE70" s="133">
        <f>IF($T$70="snížená",$N$70,0)</f>
        <v>0</v>
      </c>
      <c r="BF70" s="133">
        <f>IF($T$70="zákl. přenesená",$N$70,0)</f>
        <v>0</v>
      </c>
      <c r="BG70" s="133">
        <f>IF($T$70="sníž. přenesená",$N$70,0)</f>
        <v>0</v>
      </c>
      <c r="BH70" s="133">
        <f>IF($T$70="nulová",$N$70,0)</f>
        <v>0</v>
      </c>
      <c r="BI70" s="7" t="s">
        <v>4</v>
      </c>
      <c r="BJ70" s="133">
        <f>ROUND($L$70*$K$70,2)</f>
        <v>0</v>
      </c>
      <c r="BK70" s="7" t="s">
        <v>95</v>
      </c>
    </row>
    <row r="71" spans="2:63" s="7" customFormat="1" ht="27" customHeight="1" x14ac:dyDescent="0.3">
      <c r="B71" s="53"/>
      <c r="C71" s="25">
        <v>7</v>
      </c>
      <c r="D71" s="25" t="s">
        <v>92</v>
      </c>
      <c r="E71" s="26" t="s">
        <v>109</v>
      </c>
      <c r="F71" s="200" t="s">
        <v>110</v>
      </c>
      <c r="G71" s="193"/>
      <c r="H71" s="193"/>
      <c r="I71" s="193"/>
      <c r="J71" s="127" t="s">
        <v>103</v>
      </c>
      <c r="K71" s="128">
        <v>50</v>
      </c>
      <c r="L71" s="194"/>
      <c r="M71" s="195"/>
      <c r="N71" s="196">
        <f t="shared" si="0"/>
        <v>0</v>
      </c>
      <c r="O71" s="193"/>
      <c r="P71" s="193"/>
      <c r="Q71" s="193"/>
      <c r="R71" s="54"/>
      <c r="S71" s="129"/>
      <c r="T71" s="130" t="s">
        <v>12</v>
      </c>
      <c r="U71" s="131">
        <v>0.08</v>
      </c>
      <c r="V71" s="131">
        <f>$U$71*$K$71</f>
        <v>4</v>
      </c>
      <c r="W71" s="131">
        <v>2.4000000000000001E-4</v>
      </c>
      <c r="X71" s="131">
        <f>$W$71*$K$71</f>
        <v>1.2E-2</v>
      </c>
      <c r="Y71" s="131">
        <v>0</v>
      </c>
      <c r="Z71" s="132">
        <f>$Y$71*$K$71</f>
        <v>0</v>
      </c>
      <c r="AQ71" s="7" t="s">
        <v>95</v>
      </c>
      <c r="AS71" s="7" t="s">
        <v>92</v>
      </c>
      <c r="AT71" s="7" t="s">
        <v>42</v>
      </c>
      <c r="AX71" s="7" t="s">
        <v>91</v>
      </c>
      <c r="BD71" s="133">
        <f>IF($T$71="základní",$N$71,0)</f>
        <v>0</v>
      </c>
      <c r="BE71" s="133">
        <f>IF($T$71="snížená",$N$71,0)</f>
        <v>0</v>
      </c>
      <c r="BF71" s="133">
        <f>IF($T$71="zákl. přenesená",$N$71,0)</f>
        <v>0</v>
      </c>
      <c r="BG71" s="133">
        <f>IF($T$71="sníž. přenesená",$N$71,0)</f>
        <v>0</v>
      </c>
      <c r="BH71" s="133">
        <f>IF($T$71="nulová",$N$71,0)</f>
        <v>0</v>
      </c>
      <c r="BI71" s="7" t="s">
        <v>4</v>
      </c>
      <c r="BJ71" s="133">
        <f>ROUND($L$71*$K$71,2)</f>
        <v>0</v>
      </c>
      <c r="BK71" s="7" t="s">
        <v>95</v>
      </c>
    </row>
    <row r="72" spans="2:63" s="7" customFormat="1" ht="21" customHeight="1" x14ac:dyDescent="0.3">
      <c r="B72" s="53"/>
      <c r="C72" s="25">
        <v>8</v>
      </c>
      <c r="D72" s="25" t="s">
        <v>92</v>
      </c>
      <c r="E72" s="26" t="s">
        <v>111</v>
      </c>
      <c r="F72" s="200" t="s">
        <v>277</v>
      </c>
      <c r="G72" s="193"/>
      <c r="H72" s="193"/>
      <c r="I72" s="193"/>
      <c r="J72" s="127" t="s">
        <v>112</v>
      </c>
      <c r="K72" s="128">
        <v>150</v>
      </c>
      <c r="L72" s="194"/>
      <c r="M72" s="195"/>
      <c r="N72" s="196">
        <f t="shared" si="0"/>
        <v>0</v>
      </c>
      <c r="O72" s="193"/>
      <c r="P72" s="193"/>
      <c r="Q72" s="193"/>
      <c r="R72" s="54"/>
      <c r="S72" s="129"/>
      <c r="T72" s="130" t="s">
        <v>12</v>
      </c>
      <c r="U72" s="131">
        <v>0.01</v>
      </c>
      <c r="V72" s="131">
        <f>$U$72*$K$72</f>
        <v>1.5</v>
      </c>
      <c r="W72" s="131">
        <v>0</v>
      </c>
      <c r="X72" s="131">
        <f>$W$72*$K$72</f>
        <v>0</v>
      </c>
      <c r="Y72" s="131">
        <v>0</v>
      </c>
      <c r="Z72" s="132">
        <f>$Y$72*$K$72</f>
        <v>0</v>
      </c>
      <c r="AQ72" s="7" t="s">
        <v>95</v>
      </c>
      <c r="AS72" s="7" t="s">
        <v>92</v>
      </c>
      <c r="AT72" s="7" t="s">
        <v>42</v>
      </c>
      <c r="AX72" s="7" t="s">
        <v>91</v>
      </c>
      <c r="BD72" s="133">
        <f>IF($T$72="základní",$N$72,0)</f>
        <v>0</v>
      </c>
      <c r="BE72" s="133">
        <f>IF($T$72="snížená",$N$72,0)</f>
        <v>0</v>
      </c>
      <c r="BF72" s="133">
        <f>IF($T$72="zákl. přenesená",$N$72,0)</f>
        <v>0</v>
      </c>
      <c r="BG72" s="133">
        <f>IF($T$72="sníž. přenesená",$N$72,0)</f>
        <v>0</v>
      </c>
      <c r="BH72" s="133">
        <f>IF($T$72="nulová",$N$72,0)</f>
        <v>0</v>
      </c>
      <c r="BI72" s="7" t="s">
        <v>4</v>
      </c>
      <c r="BJ72" s="133">
        <f>ROUND($L$72*$K$72,2)</f>
        <v>0</v>
      </c>
      <c r="BK72" s="7" t="s">
        <v>95</v>
      </c>
    </row>
    <row r="73" spans="2:63" s="7" customFormat="1" ht="27" customHeight="1" x14ac:dyDescent="0.3">
      <c r="B73" s="53"/>
      <c r="C73" s="25">
        <v>9</v>
      </c>
      <c r="D73" s="25" t="s">
        <v>92</v>
      </c>
      <c r="E73" s="26" t="s">
        <v>113</v>
      </c>
      <c r="F73" s="200" t="s">
        <v>114</v>
      </c>
      <c r="G73" s="193"/>
      <c r="H73" s="193"/>
      <c r="I73" s="193"/>
      <c r="J73" s="127" t="s">
        <v>103</v>
      </c>
      <c r="K73" s="128">
        <v>10</v>
      </c>
      <c r="L73" s="194"/>
      <c r="M73" s="195"/>
      <c r="N73" s="196">
        <f t="shared" ref="N73" si="1">L73*K73</f>
        <v>0</v>
      </c>
      <c r="O73" s="193"/>
      <c r="P73" s="193"/>
      <c r="Q73" s="193"/>
      <c r="R73" s="54"/>
      <c r="S73" s="129"/>
      <c r="T73" s="130" t="s">
        <v>12</v>
      </c>
      <c r="U73" s="131">
        <v>0.06</v>
      </c>
      <c r="V73" s="131" t="e">
        <f>#REF!*#REF!</f>
        <v>#REF!</v>
      </c>
      <c r="W73" s="131">
        <v>1.2E-4</v>
      </c>
      <c r="X73" s="131" t="e">
        <f>#REF!*#REF!</f>
        <v>#REF!</v>
      </c>
      <c r="Y73" s="131">
        <v>0</v>
      </c>
      <c r="Z73" s="132" t="e">
        <f>#REF!*#REF!</f>
        <v>#REF!</v>
      </c>
      <c r="AQ73" s="7" t="s">
        <v>95</v>
      </c>
      <c r="AS73" s="7" t="s">
        <v>92</v>
      </c>
      <c r="AT73" s="7" t="s">
        <v>42</v>
      </c>
      <c r="AX73" s="7" t="s">
        <v>91</v>
      </c>
      <c r="BD73" s="133" t="e">
        <f>IF(#REF!="základní",#REF!,0)</f>
        <v>#REF!</v>
      </c>
      <c r="BE73" s="133" t="e">
        <f>IF(#REF!="snížená",#REF!,0)</f>
        <v>#REF!</v>
      </c>
      <c r="BF73" s="133" t="e">
        <f>IF(#REF!="zákl. přenesená",#REF!,0)</f>
        <v>#REF!</v>
      </c>
      <c r="BG73" s="133" t="e">
        <f>IF(#REF!="sníž. přenesená",#REF!,0)</f>
        <v>#REF!</v>
      </c>
      <c r="BH73" s="133" t="e">
        <f>IF(#REF!="nulová",#REF!,0)</f>
        <v>#REF!</v>
      </c>
      <c r="BI73" s="7" t="s">
        <v>4</v>
      </c>
      <c r="BJ73" s="133" t="e">
        <f>ROUND(#REF!*#REF!,2)</f>
        <v>#REF!</v>
      </c>
      <c r="BK73" s="7" t="s">
        <v>95</v>
      </c>
    </row>
    <row r="74" spans="2:63" s="62" customFormat="1" ht="30.75" customHeight="1" x14ac:dyDescent="0.3">
      <c r="B74" s="63"/>
      <c r="D74" s="64" t="s">
        <v>53</v>
      </c>
      <c r="L74" s="134"/>
      <c r="M74" s="134"/>
      <c r="N74" s="190">
        <f>SUM(N75:Q87)</f>
        <v>0</v>
      </c>
      <c r="O74" s="191"/>
      <c r="P74" s="191"/>
      <c r="Q74" s="191"/>
      <c r="R74" s="65"/>
      <c r="S74" s="122"/>
      <c r="V74" s="123">
        <f>SUM($V$75:$V$87)</f>
        <v>483.86099999999999</v>
      </c>
      <c r="X74" s="123">
        <f>SUM($X$75:$X$87)</f>
        <v>0.35849699999999995</v>
      </c>
      <c r="Z74" s="124">
        <f>SUM($Z$75:$Z$87)</f>
        <v>8.4770000000000003</v>
      </c>
      <c r="AQ74" s="125" t="s">
        <v>4</v>
      </c>
      <c r="AS74" s="125" t="s">
        <v>32</v>
      </c>
      <c r="AT74" s="125" t="s">
        <v>4</v>
      </c>
      <c r="AX74" s="125" t="s">
        <v>91</v>
      </c>
      <c r="BJ74" s="126">
        <f>SUM($BJ$75:$BJ$87)</f>
        <v>0</v>
      </c>
    </row>
    <row r="75" spans="2:63" s="7" customFormat="1" ht="27" customHeight="1" x14ac:dyDescent="0.3">
      <c r="B75" s="53"/>
      <c r="C75" s="25">
        <v>10</v>
      </c>
      <c r="D75" s="25" t="s">
        <v>92</v>
      </c>
      <c r="E75" s="26" t="s">
        <v>115</v>
      </c>
      <c r="F75" s="192" t="s">
        <v>287</v>
      </c>
      <c r="G75" s="193"/>
      <c r="H75" s="193"/>
      <c r="I75" s="193"/>
      <c r="J75" s="127" t="s">
        <v>103</v>
      </c>
      <c r="K75" s="128">
        <f>74+25.5</f>
        <v>99.5</v>
      </c>
      <c r="L75" s="194"/>
      <c r="M75" s="195"/>
      <c r="N75" s="196">
        <f t="shared" ref="N75:N87" si="2">L75*K75</f>
        <v>0</v>
      </c>
      <c r="O75" s="193"/>
      <c r="P75" s="193"/>
      <c r="Q75" s="193"/>
      <c r="R75" s="54"/>
      <c r="S75" s="129"/>
      <c r="T75" s="130" t="s">
        <v>12</v>
      </c>
      <c r="U75" s="131">
        <v>0.08</v>
      </c>
      <c r="V75" s="131">
        <f>$U$75*$K$75</f>
        <v>7.96</v>
      </c>
      <c r="W75" s="131">
        <v>6.8999999999999997E-4</v>
      </c>
      <c r="X75" s="131">
        <f>$W$75*$K$75</f>
        <v>6.8654999999999994E-2</v>
      </c>
      <c r="Y75" s="131">
        <v>0</v>
      </c>
      <c r="Z75" s="132">
        <f>$Y$75*$K$75</f>
        <v>0</v>
      </c>
      <c r="AQ75" s="7" t="s">
        <v>95</v>
      </c>
      <c r="AS75" s="7" t="s">
        <v>92</v>
      </c>
      <c r="AT75" s="7" t="s">
        <v>42</v>
      </c>
      <c r="AX75" s="7" t="s">
        <v>91</v>
      </c>
      <c r="BD75" s="133">
        <f>IF($T$75="základní",$N$75,0)</f>
        <v>0</v>
      </c>
      <c r="BE75" s="133">
        <f>IF($T$75="snížená",$N$75,0)</f>
        <v>0</v>
      </c>
      <c r="BF75" s="133">
        <f>IF($T$75="zákl. přenesená",$N$75,0)</f>
        <v>0</v>
      </c>
      <c r="BG75" s="133">
        <f>IF($T$75="sníž. přenesená",$N$75,0)</f>
        <v>0</v>
      </c>
      <c r="BH75" s="133">
        <f>IF($T$75="nulová",$N$75,0)</f>
        <v>0</v>
      </c>
      <c r="BI75" s="7" t="s">
        <v>4</v>
      </c>
      <c r="BJ75" s="133">
        <f>ROUND($L$75*$K$75,2)</f>
        <v>0</v>
      </c>
      <c r="BK75" s="7" t="s">
        <v>95</v>
      </c>
    </row>
    <row r="76" spans="2:63" s="7" customFormat="1" ht="28.5" customHeight="1" x14ac:dyDescent="0.3">
      <c r="B76" s="53"/>
      <c r="C76" s="25">
        <v>11</v>
      </c>
      <c r="D76" s="25" t="s">
        <v>92</v>
      </c>
      <c r="E76" s="26" t="s">
        <v>324</v>
      </c>
      <c r="F76" s="192" t="s">
        <v>288</v>
      </c>
      <c r="G76" s="193"/>
      <c r="H76" s="193"/>
      <c r="I76" s="193"/>
      <c r="J76" s="127" t="s">
        <v>103</v>
      </c>
      <c r="K76" s="128">
        <f>25.5*2</f>
        <v>51</v>
      </c>
      <c r="L76" s="194"/>
      <c r="M76" s="195"/>
      <c r="N76" s="196">
        <f t="shared" ref="N76" si="3">L76*K76</f>
        <v>0</v>
      </c>
      <c r="O76" s="193"/>
      <c r="P76" s="193"/>
      <c r="Q76" s="193"/>
      <c r="R76" s="54"/>
      <c r="S76" s="129"/>
      <c r="T76" s="130" t="s">
        <v>12</v>
      </c>
      <c r="U76" s="131">
        <v>0.08</v>
      </c>
      <c r="V76" s="131">
        <f>$U$75*$K$75</f>
        <v>7.96</v>
      </c>
      <c r="W76" s="131">
        <v>6.8999999999999997E-4</v>
      </c>
      <c r="X76" s="131">
        <f>$W$75*$K$75</f>
        <v>6.8654999999999994E-2</v>
      </c>
      <c r="Y76" s="131">
        <v>0</v>
      </c>
      <c r="Z76" s="132">
        <f>$Y$75*$K$75</f>
        <v>0</v>
      </c>
      <c r="AQ76" s="7" t="s">
        <v>95</v>
      </c>
      <c r="AS76" s="7" t="s">
        <v>92</v>
      </c>
      <c r="AT76" s="7" t="s">
        <v>42</v>
      </c>
      <c r="AX76" s="7" t="s">
        <v>91</v>
      </c>
      <c r="BD76" s="133">
        <f>IF($T$75="základní",$N$75,0)</f>
        <v>0</v>
      </c>
      <c r="BE76" s="133">
        <f>IF($T$75="snížená",$N$75,0)</f>
        <v>0</v>
      </c>
      <c r="BF76" s="133">
        <f>IF($T$75="zákl. přenesená",$N$75,0)</f>
        <v>0</v>
      </c>
      <c r="BG76" s="133">
        <f>IF($T$75="sníž. přenesená",$N$75,0)</f>
        <v>0</v>
      </c>
      <c r="BH76" s="133">
        <f>IF($T$75="nulová",$N$75,0)</f>
        <v>0</v>
      </c>
      <c r="BI76" s="7" t="s">
        <v>4</v>
      </c>
      <c r="BJ76" s="133">
        <f>ROUND($L$75*$K$75,2)</f>
        <v>0</v>
      </c>
      <c r="BK76" s="7" t="s">
        <v>95</v>
      </c>
    </row>
    <row r="77" spans="2:63" s="7" customFormat="1" ht="19.5" customHeight="1" x14ac:dyDescent="0.3">
      <c r="B77" s="53"/>
      <c r="C77" s="25">
        <v>12</v>
      </c>
      <c r="D77" s="25" t="s">
        <v>92</v>
      </c>
      <c r="E77" s="26" t="s">
        <v>325</v>
      </c>
      <c r="F77" s="192" t="s">
        <v>289</v>
      </c>
      <c r="G77" s="193"/>
      <c r="H77" s="193"/>
      <c r="I77" s="193"/>
      <c r="J77" s="127" t="s">
        <v>103</v>
      </c>
      <c r="K77" s="128">
        <v>25.5</v>
      </c>
      <c r="L77" s="194"/>
      <c r="M77" s="195"/>
      <c r="N77" s="196">
        <f t="shared" ref="N77" si="4">L77*K77</f>
        <v>0</v>
      </c>
      <c r="O77" s="193"/>
      <c r="P77" s="193"/>
      <c r="Q77" s="193"/>
      <c r="R77" s="54"/>
      <c r="S77" s="129"/>
      <c r="T77" s="130" t="s">
        <v>12</v>
      </c>
      <c r="U77" s="131">
        <v>0.08</v>
      </c>
      <c r="V77" s="131">
        <f>$U$75*$K$75</f>
        <v>7.96</v>
      </c>
      <c r="W77" s="131">
        <v>6.8999999999999997E-4</v>
      </c>
      <c r="X77" s="131">
        <f>$W$75*$K$75</f>
        <v>6.8654999999999994E-2</v>
      </c>
      <c r="Y77" s="131">
        <v>0</v>
      </c>
      <c r="Z77" s="132">
        <f>$Y$75*$K$75</f>
        <v>0</v>
      </c>
      <c r="AQ77" s="7" t="s">
        <v>95</v>
      </c>
      <c r="AS77" s="7" t="s">
        <v>92</v>
      </c>
      <c r="AT77" s="7" t="s">
        <v>42</v>
      </c>
      <c r="AX77" s="7" t="s">
        <v>91</v>
      </c>
      <c r="BD77" s="133">
        <f>IF($T$75="základní",$N$75,0)</f>
        <v>0</v>
      </c>
      <c r="BE77" s="133">
        <f>IF($T$75="snížená",$N$75,0)</f>
        <v>0</v>
      </c>
      <c r="BF77" s="133">
        <f>IF($T$75="zákl. přenesená",$N$75,0)</f>
        <v>0</v>
      </c>
      <c r="BG77" s="133">
        <f>IF($T$75="sníž. přenesená",$N$75,0)</f>
        <v>0</v>
      </c>
      <c r="BH77" s="133">
        <f>IF($T$75="nulová",$N$75,0)</f>
        <v>0</v>
      </c>
      <c r="BI77" s="7" t="s">
        <v>4</v>
      </c>
      <c r="BJ77" s="133">
        <f>ROUND($L$75*$K$75,2)</f>
        <v>0</v>
      </c>
      <c r="BK77" s="7" t="s">
        <v>95</v>
      </c>
    </row>
    <row r="78" spans="2:63" s="7" customFormat="1" ht="27" customHeight="1" x14ac:dyDescent="0.3">
      <c r="B78" s="53"/>
      <c r="C78" s="25">
        <v>13</v>
      </c>
      <c r="D78" s="25" t="s">
        <v>92</v>
      </c>
      <c r="E78" s="26" t="s">
        <v>116</v>
      </c>
      <c r="F78" s="192" t="s">
        <v>290</v>
      </c>
      <c r="G78" s="193"/>
      <c r="H78" s="193"/>
      <c r="I78" s="193"/>
      <c r="J78" s="127" t="s">
        <v>103</v>
      </c>
      <c r="K78" s="128">
        <v>36</v>
      </c>
      <c r="L78" s="194"/>
      <c r="M78" s="195"/>
      <c r="N78" s="196">
        <f t="shared" si="2"/>
        <v>0</v>
      </c>
      <c r="O78" s="193"/>
      <c r="P78" s="193"/>
      <c r="Q78" s="193"/>
      <c r="R78" s="54"/>
      <c r="S78" s="129"/>
      <c r="T78" s="130" t="s">
        <v>12</v>
      </c>
      <c r="U78" s="131">
        <v>6.0999999999999999E-2</v>
      </c>
      <c r="V78" s="131">
        <f>$U$78*$K$78</f>
        <v>2.1959999999999997</v>
      </c>
      <c r="W78" s="131">
        <v>0</v>
      </c>
      <c r="X78" s="131">
        <f>$W$78*$K$78</f>
        <v>0</v>
      </c>
      <c r="Y78" s="131">
        <v>0</v>
      </c>
      <c r="Z78" s="132">
        <f>$Y$78*$K$78</f>
        <v>0</v>
      </c>
      <c r="AQ78" s="7" t="s">
        <v>95</v>
      </c>
      <c r="AS78" s="7" t="s">
        <v>92</v>
      </c>
      <c r="AT78" s="7" t="s">
        <v>42</v>
      </c>
      <c r="AX78" s="7" t="s">
        <v>91</v>
      </c>
      <c r="BD78" s="133">
        <f>IF($T$78="základní",$N$78,0)</f>
        <v>0</v>
      </c>
      <c r="BE78" s="133">
        <f>IF($T$78="snížená",$N$78,0)</f>
        <v>0</v>
      </c>
      <c r="BF78" s="133">
        <f>IF($T$78="zákl. přenesená",$N$78,0)</f>
        <v>0</v>
      </c>
      <c r="BG78" s="133">
        <f>IF($T$78="sníž. přenesená",$N$78,0)</f>
        <v>0</v>
      </c>
      <c r="BH78" s="133">
        <f>IF($T$78="nulová",$N$78,0)</f>
        <v>0</v>
      </c>
      <c r="BI78" s="7" t="s">
        <v>4</v>
      </c>
      <c r="BJ78" s="133">
        <f>ROUND($L$78*$K$78,2)</f>
        <v>0</v>
      </c>
      <c r="BK78" s="7" t="s">
        <v>95</v>
      </c>
    </row>
    <row r="79" spans="2:63" s="7" customFormat="1" ht="27" customHeight="1" x14ac:dyDescent="0.3">
      <c r="B79" s="53"/>
      <c r="C79" s="25">
        <v>14</v>
      </c>
      <c r="D79" s="25" t="s">
        <v>92</v>
      </c>
      <c r="E79" s="26" t="s">
        <v>118</v>
      </c>
      <c r="F79" s="200" t="s">
        <v>119</v>
      </c>
      <c r="G79" s="193"/>
      <c r="H79" s="193"/>
      <c r="I79" s="193"/>
      <c r="J79" s="127" t="s">
        <v>103</v>
      </c>
      <c r="K79" s="128">
        <v>36</v>
      </c>
      <c r="L79" s="194"/>
      <c r="M79" s="195"/>
      <c r="N79" s="196">
        <f t="shared" si="2"/>
        <v>0</v>
      </c>
      <c r="O79" s="193"/>
      <c r="P79" s="193"/>
      <c r="Q79" s="193"/>
      <c r="R79" s="54"/>
      <c r="S79" s="129"/>
      <c r="T79" s="130" t="s">
        <v>12</v>
      </c>
      <c r="U79" s="131">
        <v>4.1000000000000002E-2</v>
      </c>
      <c r="V79" s="131">
        <f>$U$79*$K$79</f>
        <v>1.476</v>
      </c>
      <c r="W79" s="131">
        <v>0</v>
      </c>
      <c r="X79" s="131">
        <f>$W$79*$K$79</f>
        <v>0</v>
      </c>
      <c r="Y79" s="131">
        <v>0</v>
      </c>
      <c r="Z79" s="132">
        <f>$Y$79*$K$79</f>
        <v>0</v>
      </c>
      <c r="AQ79" s="7" t="s">
        <v>95</v>
      </c>
      <c r="AS79" s="7" t="s">
        <v>92</v>
      </c>
      <c r="AT79" s="7" t="s">
        <v>42</v>
      </c>
      <c r="AX79" s="7" t="s">
        <v>91</v>
      </c>
      <c r="BD79" s="133">
        <f>IF($T$79="základní",$N$79,0)</f>
        <v>0</v>
      </c>
      <c r="BE79" s="133">
        <f>IF($T$79="snížená",$N$79,0)</f>
        <v>0</v>
      </c>
      <c r="BF79" s="133">
        <f>IF($T$79="zákl. přenesená",$N$79,0)</f>
        <v>0</v>
      </c>
      <c r="BG79" s="133">
        <f>IF($T$79="sníž. přenesená",$N$79,0)</f>
        <v>0</v>
      </c>
      <c r="BH79" s="133">
        <f>IF($T$79="nulová",$N$79,0)</f>
        <v>0</v>
      </c>
      <c r="BI79" s="7" t="s">
        <v>4</v>
      </c>
      <c r="BJ79" s="133">
        <f>ROUND($L$79*$K$79,2)</f>
        <v>0</v>
      </c>
      <c r="BK79" s="7" t="s">
        <v>95</v>
      </c>
    </row>
    <row r="80" spans="2:63" s="7" customFormat="1" ht="27" customHeight="1" x14ac:dyDescent="0.3">
      <c r="B80" s="53"/>
      <c r="C80" s="25">
        <v>15</v>
      </c>
      <c r="D80" s="25" t="s">
        <v>92</v>
      </c>
      <c r="E80" s="26" t="s">
        <v>120</v>
      </c>
      <c r="F80" s="192" t="s">
        <v>326</v>
      </c>
      <c r="G80" s="193"/>
      <c r="H80" s="193"/>
      <c r="I80" s="193"/>
      <c r="J80" s="127" t="s">
        <v>103</v>
      </c>
      <c r="K80" s="128">
        <v>440</v>
      </c>
      <c r="L80" s="194"/>
      <c r="M80" s="195"/>
      <c r="N80" s="196">
        <f t="shared" si="2"/>
        <v>0</v>
      </c>
      <c r="O80" s="193"/>
      <c r="P80" s="193"/>
      <c r="Q80" s="193"/>
      <c r="R80" s="54"/>
      <c r="S80" s="129"/>
      <c r="T80" s="130" t="s">
        <v>12</v>
      </c>
      <c r="U80" s="131">
        <v>0.308</v>
      </c>
      <c r="V80" s="131">
        <f>$U$80*$K$80</f>
        <v>135.52000000000001</v>
      </c>
      <c r="W80" s="131">
        <v>4.0000000000000003E-5</v>
      </c>
      <c r="X80" s="131">
        <f>$W$80*$K$80</f>
        <v>1.7600000000000001E-2</v>
      </c>
      <c r="Y80" s="131">
        <v>0</v>
      </c>
      <c r="Z80" s="132">
        <f>$Y$80*$K$80</f>
        <v>0</v>
      </c>
      <c r="AQ80" s="7" t="s">
        <v>95</v>
      </c>
      <c r="AS80" s="7" t="s">
        <v>92</v>
      </c>
      <c r="AT80" s="7" t="s">
        <v>42</v>
      </c>
      <c r="AX80" s="7" t="s">
        <v>91</v>
      </c>
      <c r="BD80" s="133">
        <f>IF($T$80="základní",$N$80,0)</f>
        <v>0</v>
      </c>
      <c r="BE80" s="133">
        <f>IF($T$80="snížená",$N$80,0)</f>
        <v>0</v>
      </c>
      <c r="BF80" s="133">
        <f>IF($T$80="zákl. přenesená",$N$80,0)</f>
        <v>0</v>
      </c>
      <c r="BG80" s="133">
        <f>IF($T$80="sníž. přenesená",$N$80,0)</f>
        <v>0</v>
      </c>
      <c r="BH80" s="133">
        <f>IF($T$80="nulová",$N$80,0)</f>
        <v>0</v>
      </c>
      <c r="BI80" s="7" t="s">
        <v>4</v>
      </c>
      <c r="BJ80" s="133">
        <f>ROUND($L$80*$K$80,2)</f>
        <v>0</v>
      </c>
      <c r="BK80" s="7" t="s">
        <v>95</v>
      </c>
    </row>
    <row r="81" spans="2:63" s="7" customFormat="1" ht="27" customHeight="1" x14ac:dyDescent="0.3">
      <c r="B81" s="53"/>
      <c r="C81" s="25">
        <v>16</v>
      </c>
      <c r="D81" s="25" t="s">
        <v>92</v>
      </c>
      <c r="E81" s="26" t="s">
        <v>121</v>
      </c>
      <c r="F81" s="192" t="s">
        <v>291</v>
      </c>
      <c r="G81" s="193"/>
      <c r="H81" s="193"/>
      <c r="I81" s="193"/>
      <c r="J81" s="127" t="s">
        <v>103</v>
      </c>
      <c r="K81" s="128">
        <v>19</v>
      </c>
      <c r="L81" s="194"/>
      <c r="M81" s="195"/>
      <c r="N81" s="196">
        <f t="shared" si="2"/>
        <v>0</v>
      </c>
      <c r="O81" s="193"/>
      <c r="P81" s="193"/>
      <c r="Q81" s="193"/>
      <c r="R81" s="54"/>
      <c r="S81" s="129"/>
      <c r="T81" s="130" t="s">
        <v>12</v>
      </c>
      <c r="U81" s="131">
        <v>0.245</v>
      </c>
      <c r="V81" s="131">
        <f>$U$81*$K$81</f>
        <v>4.6550000000000002</v>
      </c>
      <c r="W81" s="131">
        <v>0</v>
      </c>
      <c r="X81" s="131">
        <f>$W$81*$K$81</f>
        <v>0</v>
      </c>
      <c r="Y81" s="131">
        <v>0.13100000000000001</v>
      </c>
      <c r="Z81" s="132">
        <f>$Y$81*$K$81</f>
        <v>2.4889999999999999</v>
      </c>
      <c r="AQ81" s="7" t="s">
        <v>95</v>
      </c>
      <c r="AS81" s="7" t="s">
        <v>92</v>
      </c>
      <c r="AT81" s="7" t="s">
        <v>42</v>
      </c>
      <c r="AX81" s="7" t="s">
        <v>91</v>
      </c>
      <c r="BD81" s="133">
        <f>IF($T$81="základní",$N$81,0)</f>
        <v>0</v>
      </c>
      <c r="BE81" s="133">
        <f>IF($T$81="snížená",$N$81,0)</f>
        <v>0</v>
      </c>
      <c r="BF81" s="133">
        <f>IF($T$81="zákl. přenesená",$N$81,0)</f>
        <v>0</v>
      </c>
      <c r="BG81" s="133">
        <f>IF($T$81="sníž. přenesená",$N$81,0)</f>
        <v>0</v>
      </c>
      <c r="BH81" s="133">
        <f>IF($T$81="nulová",$N$81,0)</f>
        <v>0</v>
      </c>
      <c r="BI81" s="7" t="s">
        <v>4</v>
      </c>
      <c r="BJ81" s="133">
        <f>ROUND($L$81*$K$81,2)</f>
        <v>0</v>
      </c>
      <c r="BK81" s="7" t="s">
        <v>95</v>
      </c>
    </row>
    <row r="82" spans="2:63" s="7" customFormat="1" ht="15.75" customHeight="1" x14ac:dyDescent="0.3">
      <c r="B82" s="53"/>
      <c r="C82" s="25">
        <v>17</v>
      </c>
      <c r="D82" s="25" t="s">
        <v>92</v>
      </c>
      <c r="E82" s="26" t="s">
        <v>122</v>
      </c>
      <c r="F82" s="200" t="s">
        <v>123</v>
      </c>
      <c r="G82" s="193"/>
      <c r="H82" s="193"/>
      <c r="I82" s="193"/>
      <c r="J82" s="127" t="s">
        <v>97</v>
      </c>
      <c r="K82" s="128">
        <v>2.2999999999999998</v>
      </c>
      <c r="L82" s="194"/>
      <c r="M82" s="195"/>
      <c r="N82" s="196">
        <f t="shared" si="2"/>
        <v>0</v>
      </c>
      <c r="O82" s="193"/>
      <c r="P82" s="193"/>
      <c r="Q82" s="193"/>
      <c r="R82" s="54"/>
      <c r="S82" s="129"/>
      <c r="T82" s="130" t="s">
        <v>12</v>
      </c>
      <c r="U82" s="131">
        <v>8.5</v>
      </c>
      <c r="V82" s="131">
        <f>$U$82*$K$82</f>
        <v>19.549999999999997</v>
      </c>
      <c r="W82" s="131">
        <v>0</v>
      </c>
      <c r="X82" s="131">
        <f>$W$82*$K$82</f>
        <v>0</v>
      </c>
      <c r="Y82" s="131">
        <v>2.4</v>
      </c>
      <c r="Z82" s="132">
        <f>$Y$82*$K$82</f>
        <v>5.52</v>
      </c>
      <c r="AQ82" s="7" t="s">
        <v>95</v>
      </c>
      <c r="AS82" s="7" t="s">
        <v>92</v>
      </c>
      <c r="AT82" s="7" t="s">
        <v>42</v>
      </c>
      <c r="AX82" s="7" t="s">
        <v>91</v>
      </c>
      <c r="BD82" s="133">
        <f>IF($T$82="základní",$N$82,0)</f>
        <v>0</v>
      </c>
      <c r="BE82" s="133">
        <f>IF($T$82="snížená",$N$82,0)</f>
        <v>0</v>
      </c>
      <c r="BF82" s="133">
        <f>IF($T$82="zákl. přenesená",$N$82,0)</f>
        <v>0</v>
      </c>
      <c r="BG82" s="133">
        <f>IF($T$82="sníž. přenesená",$N$82,0)</f>
        <v>0</v>
      </c>
      <c r="BH82" s="133">
        <f>IF($T$82="nulová",$N$82,0)</f>
        <v>0</v>
      </c>
      <c r="BI82" s="7" t="s">
        <v>4</v>
      </c>
      <c r="BJ82" s="133">
        <f>ROUND($L$82*$K$82,2)</f>
        <v>0</v>
      </c>
      <c r="BK82" s="7" t="s">
        <v>95</v>
      </c>
    </row>
    <row r="83" spans="2:63" s="7" customFormat="1" ht="27" customHeight="1" x14ac:dyDescent="0.3">
      <c r="B83" s="53"/>
      <c r="C83" s="25">
        <v>18</v>
      </c>
      <c r="D83" s="25" t="s">
        <v>92</v>
      </c>
      <c r="E83" s="26" t="s">
        <v>124</v>
      </c>
      <c r="F83" s="192" t="s">
        <v>292</v>
      </c>
      <c r="G83" s="193"/>
      <c r="H83" s="193"/>
      <c r="I83" s="193"/>
      <c r="J83" s="27" t="s">
        <v>224</v>
      </c>
      <c r="K83" s="128">
        <v>1</v>
      </c>
      <c r="L83" s="194"/>
      <c r="M83" s="195"/>
      <c r="N83" s="196">
        <f t="shared" si="2"/>
        <v>0</v>
      </c>
      <c r="O83" s="193"/>
      <c r="P83" s="193"/>
      <c r="Q83" s="193"/>
      <c r="R83" s="54"/>
      <c r="S83" s="129"/>
      <c r="T83" s="130" t="s">
        <v>12</v>
      </c>
      <c r="U83" s="131">
        <v>0.93899999999999995</v>
      </c>
      <c r="V83" s="131">
        <f>$U$83*$K$83</f>
        <v>0.93899999999999995</v>
      </c>
      <c r="W83" s="131">
        <v>0</v>
      </c>
      <c r="X83" s="131">
        <f>$W$83*$K$83</f>
        <v>0</v>
      </c>
      <c r="Y83" s="131">
        <v>7.5999999999999998E-2</v>
      </c>
      <c r="Z83" s="132">
        <f>$Y$83*$K$83</f>
        <v>7.5999999999999998E-2</v>
      </c>
      <c r="AQ83" s="7" t="s">
        <v>95</v>
      </c>
      <c r="AS83" s="7" t="s">
        <v>92</v>
      </c>
      <c r="AT83" s="7" t="s">
        <v>42</v>
      </c>
      <c r="AX83" s="7" t="s">
        <v>91</v>
      </c>
      <c r="BD83" s="133">
        <f>IF($T$83="základní",$N$83,0)</f>
        <v>0</v>
      </c>
      <c r="BE83" s="133">
        <f>IF($T$83="snížená",$N$83,0)</f>
        <v>0</v>
      </c>
      <c r="BF83" s="133">
        <f>IF($T$83="zákl. přenesená",$N$83,0)</f>
        <v>0</v>
      </c>
      <c r="BG83" s="133">
        <f>IF($T$83="sníž. přenesená",$N$83,0)</f>
        <v>0</v>
      </c>
      <c r="BH83" s="133">
        <f>IF($T$83="nulová",$N$83,0)</f>
        <v>0</v>
      </c>
      <c r="BI83" s="7" t="s">
        <v>4</v>
      </c>
      <c r="BJ83" s="133">
        <f>ROUND($L$83*$K$83,2)</f>
        <v>0</v>
      </c>
      <c r="BK83" s="7" t="s">
        <v>95</v>
      </c>
    </row>
    <row r="84" spans="2:63" s="7" customFormat="1" ht="27" customHeight="1" x14ac:dyDescent="0.3">
      <c r="B84" s="53"/>
      <c r="C84" s="25">
        <v>19</v>
      </c>
      <c r="D84" s="25" t="s">
        <v>92</v>
      </c>
      <c r="E84" s="26" t="s">
        <v>125</v>
      </c>
      <c r="F84" s="200" t="s">
        <v>126</v>
      </c>
      <c r="G84" s="193"/>
      <c r="H84" s="193"/>
      <c r="I84" s="193"/>
      <c r="J84" s="127" t="s">
        <v>112</v>
      </c>
      <c r="K84" s="128">
        <v>5</v>
      </c>
      <c r="L84" s="194"/>
      <c r="M84" s="195"/>
      <c r="N84" s="196">
        <f t="shared" si="2"/>
        <v>0</v>
      </c>
      <c r="O84" s="193"/>
      <c r="P84" s="193"/>
      <c r="Q84" s="193"/>
      <c r="R84" s="54"/>
      <c r="S84" s="129"/>
      <c r="T84" s="130" t="s">
        <v>12</v>
      </c>
      <c r="U84" s="131">
        <v>0.82599999999999996</v>
      </c>
      <c r="V84" s="131">
        <f>$U$84*$K$84</f>
        <v>4.13</v>
      </c>
      <c r="W84" s="131">
        <v>2.3619999999999999E-2</v>
      </c>
      <c r="X84" s="131">
        <f>$W$84*$K$84</f>
        <v>0.1181</v>
      </c>
      <c r="Y84" s="131">
        <v>0</v>
      </c>
      <c r="Z84" s="132">
        <f>$Y$84*$K$84</f>
        <v>0</v>
      </c>
      <c r="AQ84" s="7" t="s">
        <v>95</v>
      </c>
      <c r="AS84" s="7" t="s">
        <v>92</v>
      </c>
      <c r="AT84" s="7" t="s">
        <v>42</v>
      </c>
      <c r="AX84" s="7" t="s">
        <v>91</v>
      </c>
      <c r="BD84" s="133">
        <f>IF($T$84="základní",$N$84,0)</f>
        <v>0</v>
      </c>
      <c r="BE84" s="133">
        <f>IF($T$84="snížená",$N$84,0)</f>
        <v>0</v>
      </c>
      <c r="BF84" s="133">
        <f>IF($T$84="zákl. přenesená",$N$84,0)</f>
        <v>0</v>
      </c>
      <c r="BG84" s="133">
        <f>IF($T$84="sníž. přenesená",$N$84,0)</f>
        <v>0</v>
      </c>
      <c r="BH84" s="133">
        <f>IF($T$84="nulová",$N$84,0)</f>
        <v>0</v>
      </c>
      <c r="BI84" s="7" t="s">
        <v>4</v>
      </c>
      <c r="BJ84" s="133">
        <f>ROUND($L$84*$K$84,2)</f>
        <v>0</v>
      </c>
      <c r="BK84" s="7" t="s">
        <v>95</v>
      </c>
    </row>
    <row r="85" spans="2:63" s="7" customFormat="1" ht="27" customHeight="1" x14ac:dyDescent="0.3">
      <c r="B85" s="53"/>
      <c r="C85" s="25">
        <v>20</v>
      </c>
      <c r="D85" s="25" t="s">
        <v>92</v>
      </c>
      <c r="E85" s="26" t="s">
        <v>127</v>
      </c>
      <c r="F85" s="200" t="s">
        <v>128</v>
      </c>
      <c r="G85" s="193"/>
      <c r="H85" s="193"/>
      <c r="I85" s="193"/>
      <c r="J85" s="127" t="s">
        <v>112</v>
      </c>
      <c r="K85" s="128">
        <v>2.8</v>
      </c>
      <c r="L85" s="194"/>
      <c r="M85" s="195"/>
      <c r="N85" s="196">
        <f t="shared" si="2"/>
        <v>0</v>
      </c>
      <c r="O85" s="193"/>
      <c r="P85" s="193"/>
      <c r="Q85" s="193"/>
      <c r="R85" s="54"/>
      <c r="S85" s="129"/>
      <c r="T85" s="130" t="s">
        <v>12</v>
      </c>
      <c r="U85" s="131">
        <v>1.9</v>
      </c>
      <c r="V85" s="131">
        <f>$U$85*$K$85</f>
        <v>5.3199999999999994</v>
      </c>
      <c r="W85" s="131">
        <v>1.2199999999999999E-3</v>
      </c>
      <c r="X85" s="131">
        <f>$W$85*$K$85</f>
        <v>3.4159999999999998E-3</v>
      </c>
      <c r="Y85" s="131">
        <v>7.0000000000000007E-2</v>
      </c>
      <c r="Z85" s="132">
        <f>$Y$85*$K$85</f>
        <v>0.19600000000000001</v>
      </c>
      <c r="AQ85" s="7" t="s">
        <v>95</v>
      </c>
      <c r="AS85" s="7" t="s">
        <v>92</v>
      </c>
      <c r="AT85" s="7" t="s">
        <v>42</v>
      </c>
      <c r="AX85" s="7" t="s">
        <v>91</v>
      </c>
      <c r="BD85" s="133">
        <f>IF($T$85="základní",$N$85,0)</f>
        <v>0</v>
      </c>
      <c r="BE85" s="133">
        <f>IF($T$85="snížená",$N$85,0)</f>
        <v>0</v>
      </c>
      <c r="BF85" s="133">
        <f>IF($T$85="zákl. přenesená",$N$85,0)</f>
        <v>0</v>
      </c>
      <c r="BG85" s="133">
        <f>IF($T$85="sníž. přenesená",$N$85,0)</f>
        <v>0</v>
      </c>
      <c r="BH85" s="133">
        <f>IF($T$85="nulová",$N$85,0)</f>
        <v>0</v>
      </c>
      <c r="BI85" s="7" t="s">
        <v>4</v>
      </c>
      <c r="BJ85" s="133">
        <f>ROUND($L$85*$K$85,2)</f>
        <v>0</v>
      </c>
      <c r="BK85" s="7" t="s">
        <v>95</v>
      </c>
    </row>
    <row r="86" spans="2:63" s="7" customFormat="1" ht="27" customHeight="1" x14ac:dyDescent="0.3">
      <c r="B86" s="53"/>
      <c r="C86" s="25">
        <v>21</v>
      </c>
      <c r="D86" s="25" t="s">
        <v>92</v>
      </c>
      <c r="E86" s="26" t="s">
        <v>327</v>
      </c>
      <c r="F86" s="192" t="s">
        <v>293</v>
      </c>
      <c r="G86" s="193"/>
      <c r="H86" s="193"/>
      <c r="I86" s="193"/>
      <c r="J86" s="27" t="s">
        <v>224</v>
      </c>
      <c r="K86" s="128">
        <v>1</v>
      </c>
      <c r="L86" s="194"/>
      <c r="M86" s="195"/>
      <c r="N86" s="196">
        <f t="shared" ref="N86" si="5">L86*K86</f>
        <v>0</v>
      </c>
      <c r="O86" s="193"/>
      <c r="P86" s="193"/>
      <c r="Q86" s="193"/>
      <c r="R86" s="54"/>
      <c r="S86" s="129"/>
      <c r="T86" s="130" t="s">
        <v>12</v>
      </c>
      <c r="U86" s="131">
        <v>1.9</v>
      </c>
      <c r="V86" s="131">
        <f>$U$85*$K$85</f>
        <v>5.3199999999999994</v>
      </c>
      <c r="W86" s="131">
        <v>1.2199999999999999E-3</v>
      </c>
      <c r="X86" s="131">
        <f>$W$85*$K$85</f>
        <v>3.4159999999999998E-3</v>
      </c>
      <c r="Y86" s="131">
        <v>7.0000000000000007E-2</v>
      </c>
      <c r="Z86" s="132">
        <f>$Y$85*$K$85</f>
        <v>0.19600000000000001</v>
      </c>
      <c r="AQ86" s="7" t="s">
        <v>95</v>
      </c>
      <c r="AS86" s="7" t="s">
        <v>92</v>
      </c>
      <c r="AT86" s="7" t="s">
        <v>42</v>
      </c>
      <c r="AX86" s="7" t="s">
        <v>91</v>
      </c>
      <c r="BD86" s="133">
        <f>IF($T$85="základní",$N$85,0)</f>
        <v>0</v>
      </c>
      <c r="BE86" s="133">
        <f>IF($T$85="snížená",$N$85,0)</f>
        <v>0</v>
      </c>
      <c r="BF86" s="133">
        <f>IF($T$85="zákl. přenesená",$N$85,0)</f>
        <v>0</v>
      </c>
      <c r="BG86" s="133">
        <f>IF($T$85="sníž. přenesená",$N$85,0)</f>
        <v>0</v>
      </c>
      <c r="BH86" s="133">
        <f>IF($T$85="nulová",$N$85,0)</f>
        <v>0</v>
      </c>
      <c r="BI86" s="7" t="s">
        <v>4</v>
      </c>
      <c r="BJ86" s="133">
        <f>ROUND($L$85*$K$85,2)</f>
        <v>0</v>
      </c>
      <c r="BK86" s="7" t="s">
        <v>95</v>
      </c>
    </row>
    <row r="87" spans="2:63" s="7" customFormat="1" ht="27" customHeight="1" x14ac:dyDescent="0.3">
      <c r="B87" s="53"/>
      <c r="C87" s="25">
        <v>22</v>
      </c>
      <c r="D87" s="25" t="s">
        <v>92</v>
      </c>
      <c r="E87" s="26" t="s">
        <v>129</v>
      </c>
      <c r="F87" s="192" t="s">
        <v>294</v>
      </c>
      <c r="G87" s="193"/>
      <c r="H87" s="193"/>
      <c r="I87" s="193"/>
      <c r="J87" s="127" t="s">
        <v>112</v>
      </c>
      <c r="K87" s="128">
        <v>62.5</v>
      </c>
      <c r="L87" s="194"/>
      <c r="M87" s="195"/>
      <c r="N87" s="196">
        <f t="shared" si="2"/>
        <v>0</v>
      </c>
      <c r="O87" s="193"/>
      <c r="P87" s="193"/>
      <c r="Q87" s="193"/>
      <c r="R87" s="54"/>
      <c r="S87" s="129"/>
      <c r="T87" s="130" t="s">
        <v>12</v>
      </c>
      <c r="U87" s="131">
        <v>4.4939999999999998</v>
      </c>
      <c r="V87" s="131">
        <f>$U$87*$K$87</f>
        <v>280.875</v>
      </c>
      <c r="W87" s="131">
        <v>1.6000000000000001E-4</v>
      </c>
      <c r="X87" s="131">
        <f>$W$87*$K$87</f>
        <v>0.01</v>
      </c>
      <c r="Y87" s="131">
        <v>0</v>
      </c>
      <c r="Z87" s="132">
        <f>$Y$87*$K$87</f>
        <v>0</v>
      </c>
      <c r="AQ87" s="7" t="s">
        <v>95</v>
      </c>
      <c r="AS87" s="7" t="s">
        <v>92</v>
      </c>
      <c r="AT87" s="7" t="s">
        <v>42</v>
      </c>
      <c r="AX87" s="7" t="s">
        <v>91</v>
      </c>
      <c r="BD87" s="133">
        <f>IF($T$87="základní",$N$87,0)</f>
        <v>0</v>
      </c>
      <c r="BE87" s="133">
        <f>IF($T$87="snížená",$N$87,0)</f>
        <v>0</v>
      </c>
      <c r="BF87" s="133">
        <f>IF($T$87="zákl. přenesená",$N$87,0)</f>
        <v>0</v>
      </c>
      <c r="BG87" s="133">
        <f>IF($T$87="sníž. přenesená",$N$87,0)</f>
        <v>0</v>
      </c>
      <c r="BH87" s="133">
        <f>IF($T$87="nulová",$N$87,0)</f>
        <v>0</v>
      </c>
      <c r="BI87" s="7" t="s">
        <v>4</v>
      </c>
      <c r="BJ87" s="133">
        <f>ROUND($L$87*$K$87,2)</f>
        <v>0</v>
      </c>
      <c r="BK87" s="7" t="s">
        <v>95</v>
      </c>
    </row>
    <row r="88" spans="2:63" s="62" customFormat="1" ht="30.75" customHeight="1" x14ac:dyDescent="0.3">
      <c r="B88" s="63"/>
      <c r="D88" s="64" t="s">
        <v>54</v>
      </c>
      <c r="L88" s="134"/>
      <c r="M88" s="134"/>
      <c r="N88" s="190">
        <f>SUM(N89:Q94)</f>
        <v>0</v>
      </c>
      <c r="O88" s="191"/>
      <c r="P88" s="191"/>
      <c r="Q88" s="191"/>
      <c r="R88" s="65"/>
      <c r="S88" s="122"/>
      <c r="V88" s="123">
        <f>SUM($V$89:$V$94)</f>
        <v>119.39999999999999</v>
      </c>
      <c r="X88" s="123">
        <f>SUM($X$89:$X$94)</f>
        <v>0</v>
      </c>
      <c r="Z88" s="124">
        <f>SUM($Z$89:$Z$94)</f>
        <v>0</v>
      </c>
      <c r="AQ88" s="125" t="s">
        <v>4</v>
      </c>
      <c r="AS88" s="125" t="s">
        <v>32</v>
      </c>
      <c r="AT88" s="125" t="s">
        <v>4</v>
      </c>
      <c r="AX88" s="125" t="s">
        <v>91</v>
      </c>
      <c r="BJ88" s="126">
        <f>SUM($BJ$89:$BJ$94)</f>
        <v>0</v>
      </c>
    </row>
    <row r="89" spans="2:63" s="7" customFormat="1" ht="27" customHeight="1" x14ac:dyDescent="0.3">
      <c r="B89" s="53"/>
      <c r="C89" s="25">
        <v>23</v>
      </c>
      <c r="D89" s="25" t="s">
        <v>92</v>
      </c>
      <c r="E89" s="26" t="s">
        <v>130</v>
      </c>
      <c r="F89" s="200" t="s">
        <v>131</v>
      </c>
      <c r="G89" s="193"/>
      <c r="H89" s="193"/>
      <c r="I89" s="193"/>
      <c r="J89" s="127" t="s">
        <v>94</v>
      </c>
      <c r="K89" s="128">
        <v>20</v>
      </c>
      <c r="L89" s="194"/>
      <c r="M89" s="195"/>
      <c r="N89" s="196">
        <f t="shared" ref="N89:N94" si="6">L89*K89</f>
        <v>0</v>
      </c>
      <c r="O89" s="193"/>
      <c r="P89" s="193"/>
      <c r="Q89" s="193"/>
      <c r="R89" s="54"/>
      <c r="S89" s="129"/>
      <c r="T89" s="130" t="s">
        <v>12</v>
      </c>
      <c r="U89" s="131">
        <v>5.46</v>
      </c>
      <c r="V89" s="131">
        <f>$U$89*$K$89</f>
        <v>109.2</v>
      </c>
      <c r="W89" s="131">
        <v>0</v>
      </c>
      <c r="X89" s="131">
        <f>$W$89*$K$89</f>
        <v>0</v>
      </c>
      <c r="Y89" s="131">
        <v>0</v>
      </c>
      <c r="Z89" s="132">
        <f>$Y$89*$K$89</f>
        <v>0</v>
      </c>
      <c r="AQ89" s="7" t="s">
        <v>95</v>
      </c>
      <c r="AS89" s="7" t="s">
        <v>92</v>
      </c>
      <c r="AT89" s="7" t="s">
        <v>42</v>
      </c>
      <c r="AX89" s="7" t="s">
        <v>91</v>
      </c>
      <c r="BD89" s="133">
        <f>IF($T$89="základní",$N$89,0)</f>
        <v>0</v>
      </c>
      <c r="BE89" s="133">
        <f>IF($T$89="snížená",$N$89,0)</f>
        <v>0</v>
      </c>
      <c r="BF89" s="133">
        <f>IF($T$89="zákl. přenesená",$N$89,0)</f>
        <v>0</v>
      </c>
      <c r="BG89" s="133">
        <f>IF($T$89="sníž. přenesená",$N$89,0)</f>
        <v>0</v>
      </c>
      <c r="BH89" s="133">
        <f>IF($T$89="nulová",$N$89,0)</f>
        <v>0</v>
      </c>
      <c r="BI89" s="7" t="s">
        <v>4</v>
      </c>
      <c r="BJ89" s="133">
        <f>ROUND($L$89*$K$89,2)</f>
        <v>0</v>
      </c>
      <c r="BK89" s="7" t="s">
        <v>95</v>
      </c>
    </row>
    <row r="90" spans="2:63" s="7" customFormat="1" ht="27" customHeight="1" x14ac:dyDescent="0.3">
      <c r="B90" s="53"/>
      <c r="C90" s="25">
        <v>24</v>
      </c>
      <c r="D90" s="25" t="s">
        <v>92</v>
      </c>
      <c r="E90" s="135" t="s">
        <v>132</v>
      </c>
      <c r="F90" s="192" t="s">
        <v>328</v>
      </c>
      <c r="G90" s="193"/>
      <c r="H90" s="193"/>
      <c r="I90" s="193"/>
      <c r="J90" s="127" t="s">
        <v>94</v>
      </c>
      <c r="K90" s="128">
        <v>20</v>
      </c>
      <c r="L90" s="194"/>
      <c r="M90" s="195"/>
      <c r="N90" s="196">
        <f t="shared" si="6"/>
        <v>0</v>
      </c>
      <c r="O90" s="193"/>
      <c r="P90" s="193"/>
      <c r="Q90" s="193"/>
      <c r="R90" s="54"/>
      <c r="S90" s="129"/>
      <c r="T90" s="130" t="s">
        <v>12</v>
      </c>
      <c r="U90" s="131">
        <v>0.255</v>
      </c>
      <c r="V90" s="131">
        <f>$U$90*$K$90</f>
        <v>5.0999999999999996</v>
      </c>
      <c r="W90" s="131">
        <v>0</v>
      </c>
      <c r="X90" s="131">
        <f>$W$90*$K$90</f>
        <v>0</v>
      </c>
      <c r="Y90" s="131">
        <v>0</v>
      </c>
      <c r="Z90" s="132">
        <f>$Y$90*$K$90</f>
        <v>0</v>
      </c>
      <c r="AQ90" s="7" t="s">
        <v>95</v>
      </c>
      <c r="AS90" s="7" t="s">
        <v>92</v>
      </c>
      <c r="AT90" s="7" t="s">
        <v>42</v>
      </c>
      <c r="AX90" s="7" t="s">
        <v>91</v>
      </c>
      <c r="BD90" s="133">
        <f>IF($T$90="základní",$N$90,0)</f>
        <v>0</v>
      </c>
      <c r="BE90" s="133">
        <f>IF($T$90="snížená",$N$90,0)</f>
        <v>0</v>
      </c>
      <c r="BF90" s="133">
        <f>IF($T$90="zákl. přenesená",$N$90,0)</f>
        <v>0</v>
      </c>
      <c r="BG90" s="133">
        <f>IF($T$90="sníž. přenesená",$N$90,0)</f>
        <v>0</v>
      </c>
      <c r="BH90" s="133">
        <f>IF($T$90="nulová",$N$90,0)</f>
        <v>0</v>
      </c>
      <c r="BI90" s="7" t="s">
        <v>4</v>
      </c>
      <c r="BJ90" s="133">
        <f>ROUND($L$90*$K$90,2)</f>
        <v>0</v>
      </c>
      <c r="BK90" s="7" t="s">
        <v>95</v>
      </c>
    </row>
    <row r="91" spans="2:63" s="7" customFormat="1" ht="27" customHeight="1" x14ac:dyDescent="0.3">
      <c r="B91" s="53"/>
      <c r="C91" s="25">
        <v>25</v>
      </c>
      <c r="D91" s="25" t="s">
        <v>92</v>
      </c>
      <c r="E91" s="135" t="s">
        <v>330</v>
      </c>
      <c r="F91" s="192" t="s">
        <v>329</v>
      </c>
      <c r="G91" s="193"/>
      <c r="H91" s="193"/>
      <c r="I91" s="193"/>
      <c r="J91" s="127" t="s">
        <v>94</v>
      </c>
      <c r="K91" s="128">
        <f>20*29</f>
        <v>580</v>
      </c>
      <c r="L91" s="194"/>
      <c r="M91" s="195"/>
      <c r="N91" s="196">
        <f t="shared" ref="N91" si="7">L91*K91</f>
        <v>0</v>
      </c>
      <c r="O91" s="193"/>
      <c r="P91" s="193"/>
      <c r="Q91" s="193"/>
      <c r="R91" s="54"/>
      <c r="S91" s="129"/>
      <c r="T91" s="130" t="s">
        <v>12</v>
      </c>
      <c r="U91" s="131">
        <v>0.255</v>
      </c>
      <c r="V91" s="131">
        <f>$U$90*$K$90</f>
        <v>5.0999999999999996</v>
      </c>
      <c r="W91" s="131">
        <v>0</v>
      </c>
      <c r="X91" s="131">
        <f>$W$90*$K$90</f>
        <v>0</v>
      </c>
      <c r="Y91" s="131">
        <v>0</v>
      </c>
      <c r="Z91" s="132">
        <f>$Y$90*$K$90</f>
        <v>0</v>
      </c>
      <c r="AQ91" s="7" t="s">
        <v>95</v>
      </c>
      <c r="AS91" s="7" t="s">
        <v>92</v>
      </c>
      <c r="AT91" s="7" t="s">
        <v>42</v>
      </c>
      <c r="AX91" s="7" t="s">
        <v>91</v>
      </c>
      <c r="BD91" s="133">
        <f>IF($T$90="základní",$N$90,0)</f>
        <v>0</v>
      </c>
      <c r="BE91" s="133">
        <f>IF($T$90="snížená",$N$90,0)</f>
        <v>0</v>
      </c>
      <c r="BF91" s="133">
        <f>IF($T$90="zákl. přenesená",$N$90,0)</f>
        <v>0</v>
      </c>
      <c r="BG91" s="133">
        <f>IF($T$90="sníž. přenesená",$N$90,0)</f>
        <v>0</v>
      </c>
      <c r="BH91" s="133">
        <f>IF($T$90="nulová",$N$90,0)</f>
        <v>0</v>
      </c>
      <c r="BI91" s="7" t="s">
        <v>4</v>
      </c>
      <c r="BJ91" s="133">
        <f>ROUND($L$90*$K$90,2)</f>
        <v>0</v>
      </c>
      <c r="BK91" s="7" t="s">
        <v>95</v>
      </c>
    </row>
    <row r="92" spans="2:63" s="7" customFormat="1" ht="27" customHeight="1" x14ac:dyDescent="0.3">
      <c r="B92" s="53"/>
      <c r="C92" s="25">
        <v>26</v>
      </c>
      <c r="D92" s="25" t="s">
        <v>92</v>
      </c>
      <c r="E92" s="26" t="s">
        <v>133</v>
      </c>
      <c r="F92" s="200" t="s">
        <v>134</v>
      </c>
      <c r="G92" s="193"/>
      <c r="H92" s="193"/>
      <c r="I92" s="193"/>
      <c r="J92" s="127" t="s">
        <v>94</v>
      </c>
      <c r="K92" s="128">
        <v>6.5</v>
      </c>
      <c r="L92" s="194"/>
      <c r="M92" s="195"/>
      <c r="N92" s="196">
        <f t="shared" si="6"/>
        <v>0</v>
      </c>
      <c r="O92" s="193"/>
      <c r="P92" s="193"/>
      <c r="Q92" s="193"/>
      <c r="R92" s="54"/>
      <c r="S92" s="129"/>
      <c r="T92" s="130" t="s">
        <v>12</v>
      </c>
      <c r="U92" s="131">
        <v>0</v>
      </c>
      <c r="V92" s="131">
        <f>$U$92*$K$92</f>
        <v>0</v>
      </c>
      <c r="W92" s="131">
        <v>0</v>
      </c>
      <c r="X92" s="131">
        <f>$W$92*$K$92</f>
        <v>0</v>
      </c>
      <c r="Y92" s="131">
        <v>0</v>
      </c>
      <c r="Z92" s="132">
        <f>$Y$92*$K$92</f>
        <v>0</v>
      </c>
      <c r="AQ92" s="7" t="s">
        <v>95</v>
      </c>
      <c r="AS92" s="7" t="s">
        <v>92</v>
      </c>
      <c r="AT92" s="7" t="s">
        <v>42</v>
      </c>
      <c r="AX92" s="7" t="s">
        <v>91</v>
      </c>
      <c r="BD92" s="133">
        <f>IF($T$92="základní",$N$92,0)</f>
        <v>0</v>
      </c>
      <c r="BE92" s="133">
        <f>IF($T$92="snížená",$N$92,0)</f>
        <v>0</v>
      </c>
      <c r="BF92" s="133">
        <f>IF($T$92="zákl. přenesená",$N$92,0)</f>
        <v>0</v>
      </c>
      <c r="BG92" s="133">
        <f>IF($T$92="sníž. přenesená",$N$92,0)</f>
        <v>0</v>
      </c>
      <c r="BH92" s="133">
        <f>IF($T$92="nulová",$N$92,0)</f>
        <v>0</v>
      </c>
      <c r="BI92" s="7" t="s">
        <v>4</v>
      </c>
      <c r="BJ92" s="133">
        <f>ROUND($L$92*$K$92,2)</f>
        <v>0</v>
      </c>
      <c r="BK92" s="7" t="s">
        <v>95</v>
      </c>
    </row>
    <row r="93" spans="2:63" s="7" customFormat="1" ht="27" customHeight="1" x14ac:dyDescent="0.3">
      <c r="B93" s="53"/>
      <c r="C93" s="25">
        <v>27</v>
      </c>
      <c r="D93" s="25" t="s">
        <v>92</v>
      </c>
      <c r="E93" s="26" t="s">
        <v>135</v>
      </c>
      <c r="F93" s="200" t="s">
        <v>136</v>
      </c>
      <c r="G93" s="193"/>
      <c r="H93" s="193"/>
      <c r="I93" s="193"/>
      <c r="J93" s="127" t="s">
        <v>94</v>
      </c>
      <c r="K93" s="128">
        <v>3.5</v>
      </c>
      <c r="L93" s="194"/>
      <c r="M93" s="195"/>
      <c r="N93" s="196">
        <f t="shared" si="6"/>
        <v>0</v>
      </c>
      <c r="O93" s="193"/>
      <c r="P93" s="193"/>
      <c r="Q93" s="193"/>
      <c r="R93" s="54"/>
      <c r="S93" s="129"/>
      <c r="T93" s="130" t="s">
        <v>12</v>
      </c>
      <c r="U93" s="131">
        <v>0</v>
      </c>
      <c r="V93" s="131">
        <f>$U$93*$K$93</f>
        <v>0</v>
      </c>
      <c r="W93" s="131">
        <v>0</v>
      </c>
      <c r="X93" s="131">
        <f>$W$93*$K$93</f>
        <v>0</v>
      </c>
      <c r="Y93" s="131">
        <v>0</v>
      </c>
      <c r="Z93" s="132">
        <f>$Y$93*$K$93</f>
        <v>0</v>
      </c>
      <c r="AQ93" s="7" t="s">
        <v>95</v>
      </c>
      <c r="AS93" s="7" t="s">
        <v>92</v>
      </c>
      <c r="AT93" s="7" t="s">
        <v>42</v>
      </c>
      <c r="AX93" s="7" t="s">
        <v>91</v>
      </c>
      <c r="BD93" s="133">
        <f>IF($T$93="základní",$N$93,0)</f>
        <v>0</v>
      </c>
      <c r="BE93" s="133">
        <f>IF($T$93="snížená",$N$93,0)</f>
        <v>0</v>
      </c>
      <c r="BF93" s="133">
        <f>IF($T$93="zákl. přenesená",$N$93,0)</f>
        <v>0</v>
      </c>
      <c r="BG93" s="133">
        <f>IF($T$93="sníž. přenesená",$N$93,0)</f>
        <v>0</v>
      </c>
      <c r="BH93" s="133">
        <f>IF($T$93="nulová",$N$93,0)</f>
        <v>0</v>
      </c>
      <c r="BI93" s="7" t="s">
        <v>4</v>
      </c>
      <c r="BJ93" s="133">
        <f>ROUND($L$93*$K$93,2)</f>
        <v>0</v>
      </c>
      <c r="BK93" s="7" t="s">
        <v>95</v>
      </c>
    </row>
    <row r="94" spans="2:63" s="7" customFormat="1" ht="27" customHeight="1" x14ac:dyDescent="0.3">
      <c r="B94" s="53"/>
      <c r="C94" s="25">
        <v>28</v>
      </c>
      <c r="D94" s="25" t="s">
        <v>92</v>
      </c>
      <c r="E94" s="135" t="s">
        <v>137</v>
      </c>
      <c r="F94" s="200" t="s">
        <v>138</v>
      </c>
      <c r="G94" s="193"/>
      <c r="H94" s="193"/>
      <c r="I94" s="193"/>
      <c r="J94" s="127" t="s">
        <v>94</v>
      </c>
      <c r="K94" s="136">
        <v>10</v>
      </c>
      <c r="L94" s="194"/>
      <c r="M94" s="195"/>
      <c r="N94" s="196">
        <f t="shared" si="6"/>
        <v>0</v>
      </c>
      <c r="O94" s="193"/>
      <c r="P94" s="193"/>
      <c r="Q94" s="193"/>
      <c r="R94" s="54"/>
      <c r="S94" s="129"/>
      <c r="T94" s="130" t="s">
        <v>12</v>
      </c>
      <c r="U94" s="131">
        <v>0</v>
      </c>
      <c r="V94" s="131">
        <f>$U$94*$K$94</f>
        <v>0</v>
      </c>
      <c r="W94" s="131">
        <v>0</v>
      </c>
      <c r="X94" s="131">
        <f>$W$94*$K$94</f>
        <v>0</v>
      </c>
      <c r="Y94" s="131">
        <v>0</v>
      </c>
      <c r="Z94" s="132">
        <f>$Y$94*$K$94</f>
        <v>0</v>
      </c>
      <c r="AQ94" s="7" t="s">
        <v>95</v>
      </c>
      <c r="AS94" s="7" t="s">
        <v>92</v>
      </c>
      <c r="AT94" s="7" t="s">
        <v>42</v>
      </c>
      <c r="AX94" s="7" t="s">
        <v>91</v>
      </c>
      <c r="BD94" s="133">
        <f>IF($T$94="základní",$N$94,0)</f>
        <v>0</v>
      </c>
      <c r="BE94" s="133">
        <f>IF($T$94="snížená",$N$94,0)</f>
        <v>0</v>
      </c>
      <c r="BF94" s="133">
        <f>IF($T$94="zákl. přenesená",$N$94,0)</f>
        <v>0</v>
      </c>
      <c r="BG94" s="133">
        <f>IF($T$94="sníž. přenesená",$N$94,0)</f>
        <v>0</v>
      </c>
      <c r="BH94" s="133">
        <f>IF($T$94="nulová",$N$94,0)</f>
        <v>0</v>
      </c>
      <c r="BI94" s="7" t="s">
        <v>4</v>
      </c>
      <c r="BJ94" s="133">
        <f>ROUND($L$94*$K$94,2)</f>
        <v>0</v>
      </c>
      <c r="BK94" s="7" t="s">
        <v>95</v>
      </c>
    </row>
    <row r="95" spans="2:63" s="62" customFormat="1" ht="37.5" customHeight="1" x14ac:dyDescent="0.35">
      <c r="B95" s="63"/>
      <c r="D95" s="121" t="s">
        <v>55</v>
      </c>
      <c r="L95" s="134"/>
      <c r="M95" s="134"/>
      <c r="N95" s="216">
        <f>+N96+N98+N107+N112+N114+N116+N119+N126+N144+N156+N160+N170+N177+N181</f>
        <v>0</v>
      </c>
      <c r="O95" s="191"/>
      <c r="P95" s="191"/>
      <c r="Q95" s="191"/>
      <c r="R95" s="65"/>
      <c r="S95" s="122"/>
      <c r="V95" s="123" t="e">
        <f>$V$96+$V$98+$V$107+$V$112+$V$114+$V$116+$V$119+$V$126+$V$144+$V$156+$V$160+$V$170+$V$177+$V$181+#REF!</f>
        <v>#REF!</v>
      </c>
      <c r="X95" s="123" t="e">
        <f>$X$96+$X$98+$X$107+$X$112+$X$114+$X$116+$X$119+$X$126+$X$144+$X$156+$X$160+$X$170+$X$177+$X$181+#REF!</f>
        <v>#REF!</v>
      </c>
      <c r="Z95" s="124" t="e">
        <f>$Z$96+$Z$98+$Z$107+$Z$112+$Z$114+$Z$116+$Z$119+$Z$126+$Z$144+$Z$156+$Z$160+$Z$170+$Z$177+$Z$181+#REF!</f>
        <v>#REF!</v>
      </c>
      <c r="AQ95" s="125" t="s">
        <v>42</v>
      </c>
      <c r="AS95" s="125" t="s">
        <v>32</v>
      </c>
      <c r="AT95" s="125" t="s">
        <v>33</v>
      </c>
      <c r="AX95" s="125" t="s">
        <v>91</v>
      </c>
      <c r="BJ95" s="126" t="e">
        <f>$BJ$96+$BJ$98+$BJ$107+$BJ$112+$BJ$114+$BJ$116+$BJ$119+$BJ$126+$BJ$144+$BJ$156+$BJ$160+$BJ$170+$BJ$177+$BJ$181+#REF!</f>
        <v>#REF!</v>
      </c>
    </row>
    <row r="96" spans="2:63" s="62" customFormat="1" ht="21" customHeight="1" x14ac:dyDescent="0.3">
      <c r="B96" s="63"/>
      <c r="D96" s="64" t="s">
        <v>56</v>
      </c>
      <c r="L96" s="134"/>
      <c r="M96" s="134"/>
      <c r="N96" s="190">
        <f>$BJ$96</f>
        <v>0</v>
      </c>
      <c r="O96" s="191"/>
      <c r="P96" s="191"/>
      <c r="Q96" s="191"/>
      <c r="R96" s="65"/>
      <c r="S96" s="122"/>
      <c r="V96" s="123">
        <f>$V$97</f>
        <v>1.1786000000000001</v>
      </c>
      <c r="X96" s="123">
        <f>$X$97</f>
        <v>0</v>
      </c>
      <c r="Z96" s="124">
        <f>$Z$97</f>
        <v>2.8115999999999999E-2</v>
      </c>
      <c r="AQ96" s="125" t="s">
        <v>42</v>
      </c>
      <c r="AS96" s="125" t="s">
        <v>32</v>
      </c>
      <c r="AT96" s="125" t="s">
        <v>4</v>
      </c>
      <c r="AX96" s="125" t="s">
        <v>91</v>
      </c>
      <c r="BJ96" s="126">
        <f>$BJ$97</f>
        <v>0</v>
      </c>
    </row>
    <row r="97" spans="2:63" s="7" customFormat="1" ht="15.75" customHeight="1" x14ac:dyDescent="0.3">
      <c r="B97" s="53"/>
      <c r="C97" s="25">
        <v>29</v>
      </c>
      <c r="D97" s="25" t="s">
        <v>92</v>
      </c>
      <c r="E97" s="26" t="s">
        <v>139</v>
      </c>
      <c r="F97" s="200" t="s">
        <v>140</v>
      </c>
      <c r="G97" s="193"/>
      <c r="H97" s="193"/>
      <c r="I97" s="193"/>
      <c r="J97" s="127" t="s">
        <v>112</v>
      </c>
      <c r="K97" s="128">
        <v>14.2</v>
      </c>
      <c r="L97" s="194"/>
      <c r="M97" s="195"/>
      <c r="N97" s="196">
        <f>ROUND($L$97*$K$97,2)</f>
        <v>0</v>
      </c>
      <c r="O97" s="193"/>
      <c r="P97" s="193"/>
      <c r="Q97" s="193"/>
      <c r="R97" s="54"/>
      <c r="S97" s="129"/>
      <c r="T97" s="130" t="s">
        <v>12</v>
      </c>
      <c r="U97" s="131">
        <v>8.3000000000000004E-2</v>
      </c>
      <c r="V97" s="131">
        <f>$U$97*$K$97</f>
        <v>1.1786000000000001</v>
      </c>
      <c r="W97" s="131">
        <v>0</v>
      </c>
      <c r="X97" s="131">
        <f>$W$97*$K$97</f>
        <v>0</v>
      </c>
      <c r="Y97" s="131">
        <v>1.98E-3</v>
      </c>
      <c r="Z97" s="132">
        <f>$Y$97*$K$97</f>
        <v>2.8115999999999999E-2</v>
      </c>
      <c r="AQ97" s="7" t="s">
        <v>141</v>
      </c>
      <c r="AS97" s="7" t="s">
        <v>92</v>
      </c>
      <c r="AT97" s="7" t="s">
        <v>42</v>
      </c>
      <c r="AX97" s="7" t="s">
        <v>91</v>
      </c>
      <c r="BD97" s="133">
        <f>IF($T$97="základní",$N$97,0)</f>
        <v>0</v>
      </c>
      <c r="BE97" s="133">
        <f>IF($T$97="snížená",$N$97,0)</f>
        <v>0</v>
      </c>
      <c r="BF97" s="133">
        <f>IF($T$97="zákl. přenesená",$N$97,0)</f>
        <v>0</v>
      </c>
      <c r="BG97" s="133">
        <f>IF($T$97="sníž. přenesená",$N$97,0)</f>
        <v>0</v>
      </c>
      <c r="BH97" s="133">
        <f>IF($T$97="nulová",$N$97,0)</f>
        <v>0</v>
      </c>
      <c r="BI97" s="7" t="s">
        <v>4</v>
      </c>
      <c r="BJ97" s="133">
        <f>ROUND($L$97*$K$97,2)</f>
        <v>0</v>
      </c>
      <c r="BK97" s="7" t="s">
        <v>141</v>
      </c>
    </row>
    <row r="98" spans="2:63" s="62" customFormat="1" ht="30.75" customHeight="1" x14ac:dyDescent="0.3">
      <c r="B98" s="63"/>
      <c r="D98" s="64" t="s">
        <v>57</v>
      </c>
      <c r="L98" s="134"/>
      <c r="M98" s="134"/>
      <c r="N98" s="214">
        <f>SUM(N99:Q106)</f>
        <v>0</v>
      </c>
      <c r="O98" s="215"/>
      <c r="P98" s="215"/>
      <c r="Q98" s="215"/>
      <c r="R98" s="65"/>
      <c r="S98" s="122"/>
      <c r="V98" s="123">
        <f>SUM($V$99:$V$106)</f>
        <v>6.5860000000000003</v>
      </c>
      <c r="X98" s="123">
        <f>SUM($X$99:$X$106)</f>
        <v>3.8099999999999995E-2</v>
      </c>
      <c r="Z98" s="124">
        <f>SUM($Z$99:$Z$106)</f>
        <v>3.2039999999999999E-2</v>
      </c>
      <c r="AQ98" s="125" t="s">
        <v>42</v>
      </c>
      <c r="AS98" s="125" t="s">
        <v>32</v>
      </c>
      <c r="AT98" s="125" t="s">
        <v>4</v>
      </c>
      <c r="AX98" s="125" t="s">
        <v>91</v>
      </c>
      <c r="BJ98" s="126">
        <f>SUM($BJ$99:$BJ$106)</f>
        <v>0</v>
      </c>
    </row>
    <row r="99" spans="2:63" s="7" customFormat="1" ht="15.75" customHeight="1" x14ac:dyDescent="0.3">
      <c r="B99" s="53"/>
      <c r="C99" s="25">
        <v>30</v>
      </c>
      <c r="D99" s="25" t="s">
        <v>92</v>
      </c>
      <c r="E99" s="26" t="s">
        <v>142</v>
      </c>
      <c r="F99" s="200" t="s">
        <v>143</v>
      </c>
      <c r="G99" s="193"/>
      <c r="H99" s="193"/>
      <c r="I99" s="193"/>
      <c r="J99" s="127" t="s">
        <v>106</v>
      </c>
      <c r="K99" s="128">
        <v>1</v>
      </c>
      <c r="L99" s="194"/>
      <c r="M99" s="195"/>
      <c r="N99" s="196">
        <f t="shared" ref="N99:N106" si="8">L99*K99</f>
        <v>0</v>
      </c>
      <c r="O99" s="193"/>
      <c r="P99" s="193"/>
      <c r="Q99" s="193"/>
      <c r="R99" s="54"/>
      <c r="S99" s="129"/>
      <c r="T99" s="130" t="s">
        <v>12</v>
      </c>
      <c r="U99" s="131">
        <v>0</v>
      </c>
      <c r="V99" s="131">
        <f>$U$99*$K$99</f>
        <v>0</v>
      </c>
      <c r="W99" s="131">
        <v>0</v>
      </c>
      <c r="X99" s="131">
        <f>$W$99*$K$99</f>
        <v>0</v>
      </c>
      <c r="Y99" s="131">
        <v>0</v>
      </c>
      <c r="Z99" s="132">
        <f>$Y$99*$K$99</f>
        <v>0</v>
      </c>
      <c r="AQ99" s="7" t="s">
        <v>141</v>
      </c>
      <c r="AS99" s="7" t="s">
        <v>92</v>
      </c>
      <c r="AT99" s="7" t="s">
        <v>42</v>
      </c>
      <c r="AX99" s="7" t="s">
        <v>91</v>
      </c>
      <c r="BD99" s="133">
        <f>IF($T$99="základní",$N$99,0)</f>
        <v>0</v>
      </c>
      <c r="BE99" s="133">
        <f>IF($T$99="snížená",$N$99,0)</f>
        <v>0</v>
      </c>
      <c r="BF99" s="133">
        <f>IF($T$99="zákl. přenesená",$N$99,0)</f>
        <v>0</v>
      </c>
      <c r="BG99" s="133">
        <f>IF($T$99="sníž. přenesená",$N$99,0)</f>
        <v>0</v>
      </c>
      <c r="BH99" s="133">
        <f>IF($T$99="nulová",$N$99,0)</f>
        <v>0</v>
      </c>
      <c r="BI99" s="7" t="s">
        <v>4</v>
      </c>
      <c r="BJ99" s="133">
        <f>ROUND($L$99*$K$99,2)</f>
        <v>0</v>
      </c>
      <c r="BK99" s="7" t="s">
        <v>141</v>
      </c>
    </row>
    <row r="100" spans="2:63" s="7" customFormat="1" ht="15.75" customHeight="1" x14ac:dyDescent="0.3">
      <c r="B100" s="53"/>
      <c r="C100" s="25">
        <v>31</v>
      </c>
      <c r="D100" s="25" t="s">
        <v>92</v>
      </c>
      <c r="E100" s="135" t="s">
        <v>347</v>
      </c>
      <c r="F100" s="200" t="s">
        <v>144</v>
      </c>
      <c r="G100" s="193"/>
      <c r="H100" s="193"/>
      <c r="I100" s="193"/>
      <c r="J100" s="127" t="s">
        <v>112</v>
      </c>
      <c r="K100" s="128">
        <v>6.3</v>
      </c>
      <c r="L100" s="194"/>
      <c r="M100" s="195"/>
      <c r="N100" s="196">
        <f t="shared" si="8"/>
        <v>0</v>
      </c>
      <c r="O100" s="193"/>
      <c r="P100" s="193"/>
      <c r="Q100" s="193"/>
      <c r="R100" s="54"/>
      <c r="S100" s="129"/>
      <c r="T100" s="130" t="s">
        <v>12</v>
      </c>
      <c r="U100" s="131">
        <v>0</v>
      </c>
      <c r="V100" s="131">
        <f>$U$100*$K$100</f>
        <v>0</v>
      </c>
      <c r="W100" s="131">
        <v>0</v>
      </c>
      <c r="X100" s="131">
        <f>$W$100*$K$100</f>
        <v>0</v>
      </c>
      <c r="Y100" s="131">
        <v>0</v>
      </c>
      <c r="Z100" s="132">
        <f>$Y$100*$K$100</f>
        <v>0</v>
      </c>
      <c r="AQ100" s="7" t="s">
        <v>141</v>
      </c>
      <c r="AS100" s="7" t="s">
        <v>92</v>
      </c>
      <c r="AT100" s="7" t="s">
        <v>42</v>
      </c>
      <c r="AX100" s="7" t="s">
        <v>91</v>
      </c>
      <c r="BD100" s="133">
        <f>IF($T$100="základní",$N$100,0)</f>
        <v>0</v>
      </c>
      <c r="BE100" s="133">
        <f>IF($T$100="snížená",$N$100,0)</f>
        <v>0</v>
      </c>
      <c r="BF100" s="133">
        <f>IF($T$100="zákl. přenesená",$N$100,0)</f>
        <v>0</v>
      </c>
      <c r="BG100" s="133">
        <f>IF($T$100="sníž. přenesená",$N$100,0)</f>
        <v>0</v>
      </c>
      <c r="BH100" s="133">
        <f>IF($T$100="nulová",$N$100,0)</f>
        <v>0</v>
      </c>
      <c r="BI100" s="7" t="s">
        <v>4</v>
      </c>
      <c r="BJ100" s="133">
        <f>ROUND($L$100*$K$100,2)</f>
        <v>0</v>
      </c>
      <c r="BK100" s="7" t="s">
        <v>141</v>
      </c>
    </row>
    <row r="101" spans="2:63" s="7" customFormat="1" ht="15.75" customHeight="1" x14ac:dyDescent="0.3">
      <c r="B101" s="53"/>
      <c r="C101" s="25">
        <v>32</v>
      </c>
      <c r="D101" s="25" t="s">
        <v>92</v>
      </c>
      <c r="E101" s="26" t="s">
        <v>145</v>
      </c>
      <c r="F101" s="200" t="s">
        <v>146</v>
      </c>
      <c r="G101" s="193"/>
      <c r="H101" s="193"/>
      <c r="I101" s="193"/>
      <c r="J101" s="127" t="s">
        <v>112</v>
      </c>
      <c r="K101" s="128">
        <v>13.5</v>
      </c>
      <c r="L101" s="194"/>
      <c r="M101" s="195"/>
      <c r="N101" s="196">
        <f t="shared" si="8"/>
        <v>0</v>
      </c>
      <c r="O101" s="193"/>
      <c r="P101" s="193"/>
      <c r="Q101" s="193"/>
      <c r="R101" s="54"/>
      <c r="S101" s="129"/>
      <c r="T101" s="130" t="s">
        <v>12</v>
      </c>
      <c r="U101" s="131">
        <v>5.1999999999999998E-2</v>
      </c>
      <c r="V101" s="131">
        <f>$U$101*$K$101</f>
        <v>0.70199999999999996</v>
      </c>
      <c r="W101" s="131">
        <v>0</v>
      </c>
      <c r="X101" s="131">
        <f>$W$101*$K$101</f>
        <v>0</v>
      </c>
      <c r="Y101" s="131">
        <v>2.7999999999999998E-4</v>
      </c>
      <c r="Z101" s="132">
        <f>$Y$101*$K$101</f>
        <v>3.7799999999999995E-3</v>
      </c>
      <c r="AQ101" s="7" t="s">
        <v>141</v>
      </c>
      <c r="AS101" s="7" t="s">
        <v>92</v>
      </c>
      <c r="AT101" s="7" t="s">
        <v>42</v>
      </c>
      <c r="AX101" s="7" t="s">
        <v>91</v>
      </c>
      <c r="BD101" s="133">
        <f>IF($T$101="základní",$N$101,0)</f>
        <v>0</v>
      </c>
      <c r="BE101" s="133">
        <f>IF($T$101="snížená",$N$101,0)</f>
        <v>0</v>
      </c>
      <c r="BF101" s="133">
        <f>IF($T$101="zákl. přenesená",$N$101,0)</f>
        <v>0</v>
      </c>
      <c r="BG101" s="133">
        <f>IF($T$101="sníž. přenesená",$N$101,0)</f>
        <v>0</v>
      </c>
      <c r="BH101" s="133">
        <f>IF($T$101="nulová",$N$101,0)</f>
        <v>0</v>
      </c>
      <c r="BI101" s="7" t="s">
        <v>4</v>
      </c>
      <c r="BJ101" s="133">
        <f>ROUND($L$101*$K$101,2)</f>
        <v>0</v>
      </c>
      <c r="BK101" s="7" t="s">
        <v>141</v>
      </c>
    </row>
    <row r="102" spans="2:63" s="7" customFormat="1" ht="27" customHeight="1" x14ac:dyDescent="0.3">
      <c r="B102" s="53"/>
      <c r="C102" s="25">
        <v>33</v>
      </c>
      <c r="D102" s="25" t="s">
        <v>92</v>
      </c>
      <c r="E102" s="26" t="s">
        <v>147</v>
      </c>
      <c r="F102" s="200" t="s">
        <v>148</v>
      </c>
      <c r="G102" s="193"/>
      <c r="H102" s="193"/>
      <c r="I102" s="193"/>
      <c r="J102" s="127" t="s">
        <v>106</v>
      </c>
      <c r="K102" s="128">
        <v>1</v>
      </c>
      <c r="L102" s="194"/>
      <c r="M102" s="195"/>
      <c r="N102" s="196">
        <f t="shared" si="8"/>
        <v>0</v>
      </c>
      <c r="O102" s="193"/>
      <c r="P102" s="193"/>
      <c r="Q102" s="193"/>
      <c r="R102" s="54"/>
      <c r="S102" s="129"/>
      <c r="T102" s="130" t="s">
        <v>12</v>
      </c>
      <c r="U102" s="131">
        <v>0.434</v>
      </c>
      <c r="V102" s="131">
        <f>$U$102*$K$102</f>
        <v>0.434</v>
      </c>
      <c r="W102" s="131">
        <v>0</v>
      </c>
      <c r="X102" s="131">
        <f>$W$102*$K$102</f>
        <v>0</v>
      </c>
      <c r="Y102" s="131">
        <v>2.826E-2</v>
      </c>
      <c r="Z102" s="132">
        <f>$Y$102*$K$102</f>
        <v>2.826E-2</v>
      </c>
      <c r="AQ102" s="7" t="s">
        <v>141</v>
      </c>
      <c r="AS102" s="7" t="s">
        <v>92</v>
      </c>
      <c r="AT102" s="7" t="s">
        <v>42</v>
      </c>
      <c r="AX102" s="7" t="s">
        <v>91</v>
      </c>
      <c r="BD102" s="133">
        <f>IF($T$102="základní",$N$102,0)</f>
        <v>0</v>
      </c>
      <c r="BE102" s="133">
        <f>IF($T$102="snížená",$N$102,0)</f>
        <v>0</v>
      </c>
      <c r="BF102" s="133">
        <f>IF($T$102="zákl. přenesená",$N$102,0)</f>
        <v>0</v>
      </c>
      <c r="BG102" s="133">
        <f>IF($T$102="sníž. přenesená",$N$102,0)</f>
        <v>0</v>
      </c>
      <c r="BH102" s="133">
        <f>IF($T$102="nulová",$N$102,0)</f>
        <v>0</v>
      </c>
      <c r="BI102" s="7" t="s">
        <v>4</v>
      </c>
      <c r="BJ102" s="133">
        <f>ROUND($L$102*$K$102,2)</f>
        <v>0</v>
      </c>
      <c r="BK102" s="7" t="s">
        <v>141</v>
      </c>
    </row>
    <row r="103" spans="2:63" s="7" customFormat="1" ht="27" customHeight="1" x14ac:dyDescent="0.3">
      <c r="B103" s="53"/>
      <c r="C103" s="25">
        <v>34</v>
      </c>
      <c r="D103" s="25" t="s">
        <v>92</v>
      </c>
      <c r="E103" s="26" t="s">
        <v>149</v>
      </c>
      <c r="F103" s="200" t="s">
        <v>150</v>
      </c>
      <c r="G103" s="193"/>
      <c r="H103" s="193"/>
      <c r="I103" s="193"/>
      <c r="J103" s="127" t="s">
        <v>112</v>
      </c>
      <c r="K103" s="128">
        <v>50</v>
      </c>
      <c r="L103" s="194"/>
      <c r="M103" s="195"/>
      <c r="N103" s="196">
        <f t="shared" si="8"/>
        <v>0</v>
      </c>
      <c r="O103" s="193"/>
      <c r="P103" s="193"/>
      <c r="Q103" s="193"/>
      <c r="R103" s="54"/>
      <c r="S103" s="129"/>
      <c r="T103" s="130" t="s">
        <v>12</v>
      </c>
      <c r="U103" s="131">
        <v>6.7000000000000004E-2</v>
      </c>
      <c r="V103" s="131">
        <f>$U$103*$K$103</f>
        <v>3.35</v>
      </c>
      <c r="W103" s="131">
        <v>1.9000000000000001E-4</v>
      </c>
      <c r="X103" s="131">
        <f>$W$103*$K$103</f>
        <v>9.4999999999999998E-3</v>
      </c>
      <c r="Y103" s="131">
        <v>0</v>
      </c>
      <c r="Z103" s="132">
        <f>$Y$103*$K$103</f>
        <v>0</v>
      </c>
      <c r="AQ103" s="7" t="s">
        <v>141</v>
      </c>
      <c r="AS103" s="7" t="s">
        <v>92</v>
      </c>
      <c r="AT103" s="7" t="s">
        <v>42</v>
      </c>
      <c r="AX103" s="7" t="s">
        <v>91</v>
      </c>
      <c r="BD103" s="133">
        <f>IF($T$103="základní",$N$103,0)</f>
        <v>0</v>
      </c>
      <c r="BE103" s="133">
        <f>IF($T$103="snížená",$N$103,0)</f>
        <v>0</v>
      </c>
      <c r="BF103" s="133">
        <f>IF($T$103="zákl. přenesená",$N$103,0)</f>
        <v>0</v>
      </c>
      <c r="BG103" s="133">
        <f>IF($T$103="sníž. přenesená",$N$103,0)</f>
        <v>0</v>
      </c>
      <c r="BH103" s="133">
        <f>IF($T$103="nulová",$N$103,0)</f>
        <v>0</v>
      </c>
      <c r="BI103" s="7" t="s">
        <v>4</v>
      </c>
      <c r="BJ103" s="133">
        <f>ROUND($L$103*$K$103,2)</f>
        <v>0</v>
      </c>
      <c r="BK103" s="7" t="s">
        <v>141</v>
      </c>
    </row>
    <row r="104" spans="2:63" s="7" customFormat="1" ht="27" customHeight="1" x14ac:dyDescent="0.3">
      <c r="B104" s="53"/>
      <c r="C104" s="25">
        <v>35</v>
      </c>
      <c r="D104" s="25" t="s">
        <v>92</v>
      </c>
      <c r="E104" s="26" t="s">
        <v>151</v>
      </c>
      <c r="F104" s="200" t="s">
        <v>152</v>
      </c>
      <c r="G104" s="193"/>
      <c r="H104" s="193"/>
      <c r="I104" s="193"/>
      <c r="J104" s="127" t="s">
        <v>112</v>
      </c>
      <c r="K104" s="128">
        <v>2</v>
      </c>
      <c r="L104" s="194"/>
      <c r="M104" s="195"/>
      <c r="N104" s="196">
        <f t="shared" si="8"/>
        <v>0</v>
      </c>
      <c r="O104" s="193"/>
      <c r="P104" s="193"/>
      <c r="Q104" s="193"/>
      <c r="R104" s="54"/>
      <c r="S104" s="129"/>
      <c r="T104" s="130" t="s">
        <v>12</v>
      </c>
      <c r="U104" s="131">
        <v>1.05</v>
      </c>
      <c r="V104" s="131">
        <f>$U$104*$K$104</f>
        <v>2.1</v>
      </c>
      <c r="W104" s="131">
        <v>0</v>
      </c>
      <c r="X104" s="131">
        <f>$W$104*$K$104</f>
        <v>0</v>
      </c>
      <c r="Y104" s="131">
        <v>0</v>
      </c>
      <c r="Z104" s="132">
        <f>$Y$104*$K$104</f>
        <v>0</v>
      </c>
      <c r="AQ104" s="7" t="s">
        <v>141</v>
      </c>
      <c r="AS104" s="7" t="s">
        <v>92</v>
      </c>
      <c r="AT104" s="7" t="s">
        <v>42</v>
      </c>
      <c r="AX104" s="7" t="s">
        <v>91</v>
      </c>
      <c r="BD104" s="133">
        <f>IF($T$104="základní",$N$104,0)</f>
        <v>0</v>
      </c>
      <c r="BE104" s="133">
        <f>IF($T$104="snížená",$N$104,0)</f>
        <v>0</v>
      </c>
      <c r="BF104" s="133">
        <f>IF($T$104="zákl. přenesená",$N$104,0)</f>
        <v>0</v>
      </c>
      <c r="BG104" s="133">
        <f>IF($T$104="sníž. přenesená",$N$104,0)</f>
        <v>0</v>
      </c>
      <c r="BH104" s="133">
        <f>IF($T$104="nulová",$N$104,0)</f>
        <v>0</v>
      </c>
      <c r="BI104" s="7" t="s">
        <v>4</v>
      </c>
      <c r="BJ104" s="133">
        <f>ROUND($L$104*$K$104,2)</f>
        <v>0</v>
      </c>
      <c r="BK104" s="7" t="s">
        <v>141</v>
      </c>
    </row>
    <row r="105" spans="2:63" s="7" customFormat="1" ht="15.75" customHeight="1" x14ac:dyDescent="0.3">
      <c r="B105" s="53"/>
      <c r="C105" s="137">
        <v>36</v>
      </c>
      <c r="D105" s="137" t="s">
        <v>153</v>
      </c>
      <c r="E105" s="138" t="s">
        <v>350</v>
      </c>
      <c r="F105" s="230" t="s">
        <v>352</v>
      </c>
      <c r="G105" s="231"/>
      <c r="H105" s="231"/>
      <c r="I105" s="231"/>
      <c r="J105" s="139" t="s">
        <v>112</v>
      </c>
      <c r="K105" s="140">
        <v>2</v>
      </c>
      <c r="L105" s="203"/>
      <c r="M105" s="204"/>
      <c r="N105" s="196">
        <f t="shared" si="8"/>
        <v>0</v>
      </c>
      <c r="O105" s="193"/>
      <c r="P105" s="193"/>
      <c r="Q105" s="193"/>
      <c r="R105" s="54"/>
      <c r="S105" s="129"/>
      <c r="T105" s="130" t="s">
        <v>12</v>
      </c>
      <c r="U105" s="131">
        <v>0</v>
      </c>
      <c r="V105" s="131">
        <f>$U$105*$K$105</f>
        <v>0</v>
      </c>
      <c r="W105" s="131">
        <v>6.4999999999999997E-3</v>
      </c>
      <c r="X105" s="131">
        <f>$W$105*$K$105</f>
        <v>1.2999999999999999E-2</v>
      </c>
      <c r="Y105" s="131">
        <v>0</v>
      </c>
      <c r="Z105" s="132">
        <f>$Y$105*$K$105</f>
        <v>0</v>
      </c>
      <c r="AQ105" s="7" t="s">
        <v>117</v>
      </c>
      <c r="AS105" s="7" t="s">
        <v>153</v>
      </c>
      <c r="AT105" s="7" t="s">
        <v>42</v>
      </c>
      <c r="AX105" s="7" t="s">
        <v>91</v>
      </c>
      <c r="BD105" s="133">
        <f>IF($T$105="základní",$N$105,0)</f>
        <v>0</v>
      </c>
      <c r="BE105" s="133">
        <f>IF($T$105="snížená",$N$105,0)</f>
        <v>0</v>
      </c>
      <c r="BF105" s="133">
        <f>IF($T$105="zákl. přenesená",$N$105,0)</f>
        <v>0</v>
      </c>
      <c r="BG105" s="133">
        <f>IF($T$105="sníž. přenesená",$N$105,0)</f>
        <v>0</v>
      </c>
      <c r="BH105" s="133">
        <f>IF($T$105="nulová",$N$105,0)</f>
        <v>0</v>
      </c>
      <c r="BI105" s="7" t="s">
        <v>4</v>
      </c>
      <c r="BJ105" s="133">
        <f>ROUND($L$105*$K$105,2)</f>
        <v>0</v>
      </c>
      <c r="BK105" s="7" t="s">
        <v>141</v>
      </c>
    </row>
    <row r="106" spans="2:63" s="7" customFormat="1" ht="15.75" customHeight="1" x14ac:dyDescent="0.3">
      <c r="B106" s="53"/>
      <c r="C106" s="137">
        <v>37</v>
      </c>
      <c r="D106" s="137" t="s">
        <v>153</v>
      </c>
      <c r="E106" s="138" t="s">
        <v>351</v>
      </c>
      <c r="F106" s="230" t="s">
        <v>353</v>
      </c>
      <c r="G106" s="231"/>
      <c r="H106" s="231"/>
      <c r="I106" s="231"/>
      <c r="J106" s="139" t="s">
        <v>106</v>
      </c>
      <c r="K106" s="140">
        <v>4</v>
      </c>
      <c r="L106" s="203"/>
      <c r="M106" s="204"/>
      <c r="N106" s="196">
        <f t="shared" si="8"/>
        <v>0</v>
      </c>
      <c r="O106" s="193"/>
      <c r="P106" s="193"/>
      <c r="Q106" s="193"/>
      <c r="R106" s="54"/>
      <c r="S106" s="129"/>
      <c r="T106" s="130" t="s">
        <v>12</v>
      </c>
      <c r="U106" s="131">
        <v>0</v>
      </c>
      <c r="V106" s="131">
        <f>$U$106*$K$106</f>
        <v>0</v>
      </c>
      <c r="W106" s="131">
        <v>3.8999999999999998E-3</v>
      </c>
      <c r="X106" s="131">
        <f>$W$106*$K$106</f>
        <v>1.5599999999999999E-2</v>
      </c>
      <c r="Y106" s="131">
        <v>0</v>
      </c>
      <c r="Z106" s="132">
        <f>$Y$106*$K$106</f>
        <v>0</v>
      </c>
      <c r="AQ106" s="7" t="s">
        <v>154</v>
      </c>
      <c r="AS106" s="7" t="s">
        <v>153</v>
      </c>
      <c r="AT106" s="7" t="s">
        <v>42</v>
      </c>
      <c r="AX106" s="7" t="s">
        <v>91</v>
      </c>
      <c r="BD106" s="133">
        <f>IF($T$106="základní",$N$106,0)</f>
        <v>0</v>
      </c>
      <c r="BE106" s="133">
        <f>IF($T$106="snížená",$N$106,0)</f>
        <v>0</v>
      </c>
      <c r="BF106" s="133">
        <f>IF($T$106="zákl. přenesená",$N$106,0)</f>
        <v>0</v>
      </c>
      <c r="BG106" s="133">
        <f>IF($T$106="sníž. přenesená",$N$106,0)</f>
        <v>0</v>
      </c>
      <c r="BH106" s="133">
        <f>IF($T$106="nulová",$N$106,0)</f>
        <v>0</v>
      </c>
      <c r="BI106" s="7" t="s">
        <v>4</v>
      </c>
      <c r="BJ106" s="133">
        <f>ROUND($L$106*$K$106,2)</f>
        <v>0</v>
      </c>
      <c r="BK106" s="7" t="s">
        <v>154</v>
      </c>
    </row>
    <row r="107" spans="2:63" s="62" customFormat="1" ht="30.75" customHeight="1" x14ac:dyDescent="0.3">
      <c r="B107" s="63"/>
      <c r="D107" s="64" t="s">
        <v>58</v>
      </c>
      <c r="L107" s="134"/>
      <c r="M107" s="134"/>
      <c r="N107" s="190">
        <f>SUM(N108:Q111)</f>
        <v>0</v>
      </c>
      <c r="O107" s="191"/>
      <c r="P107" s="191"/>
      <c r="Q107" s="191"/>
      <c r="R107" s="65"/>
      <c r="S107" s="122"/>
      <c r="V107" s="123">
        <f>SUM($V$108:$V$111)</f>
        <v>3.718</v>
      </c>
      <c r="X107" s="123">
        <f>SUM($X$108:$X$111)</f>
        <v>6.4000000000000005E-4</v>
      </c>
      <c r="Z107" s="124">
        <f>SUM($Z$108:$Z$111)</f>
        <v>0.10630000000000001</v>
      </c>
      <c r="AQ107" s="125" t="s">
        <v>42</v>
      </c>
      <c r="AS107" s="125" t="s">
        <v>32</v>
      </c>
      <c r="AT107" s="125" t="s">
        <v>4</v>
      </c>
      <c r="AX107" s="125" t="s">
        <v>91</v>
      </c>
      <c r="BJ107" s="126">
        <f>SUM($BJ$108:$BJ$111)</f>
        <v>0</v>
      </c>
    </row>
    <row r="108" spans="2:63" s="7" customFormat="1" ht="15.75" customHeight="1" x14ac:dyDescent="0.3">
      <c r="B108" s="53"/>
      <c r="C108" s="25">
        <v>38</v>
      </c>
      <c r="D108" s="25" t="s">
        <v>92</v>
      </c>
      <c r="E108" s="26" t="s">
        <v>155</v>
      </c>
      <c r="F108" s="200" t="s">
        <v>156</v>
      </c>
      <c r="G108" s="193"/>
      <c r="H108" s="193"/>
      <c r="I108" s="193"/>
      <c r="J108" s="127" t="s">
        <v>112</v>
      </c>
      <c r="K108" s="136">
        <v>1</v>
      </c>
      <c r="L108" s="194"/>
      <c r="M108" s="195"/>
      <c r="N108" s="196">
        <f t="shared" ref="N108:N111" si="9">L108*K108</f>
        <v>0</v>
      </c>
      <c r="O108" s="193"/>
      <c r="P108" s="193"/>
      <c r="Q108" s="193"/>
      <c r="R108" s="54"/>
      <c r="S108" s="129"/>
      <c r="T108" s="130" t="s">
        <v>12</v>
      </c>
      <c r="U108" s="131">
        <v>0</v>
      </c>
      <c r="V108" s="131">
        <f>$U$108*$K$108</f>
        <v>0</v>
      </c>
      <c r="W108" s="131">
        <v>0</v>
      </c>
      <c r="X108" s="131">
        <f>$W$108*$K$108</f>
        <v>0</v>
      </c>
      <c r="Y108" s="131">
        <v>0</v>
      </c>
      <c r="Z108" s="132">
        <f>$Y$108*$K$108</f>
        <v>0</v>
      </c>
      <c r="AQ108" s="7" t="s">
        <v>141</v>
      </c>
      <c r="AS108" s="7" t="s">
        <v>92</v>
      </c>
      <c r="AT108" s="7" t="s">
        <v>42</v>
      </c>
      <c r="AX108" s="7" t="s">
        <v>91</v>
      </c>
      <c r="BD108" s="133">
        <f>IF($T$108="základní",$N$108,0)</f>
        <v>0</v>
      </c>
      <c r="BE108" s="133">
        <f>IF($T$108="snížená",$N$108,0)</f>
        <v>0</v>
      </c>
      <c r="BF108" s="133">
        <f>IF($T$108="zákl. přenesená",$N$108,0)</f>
        <v>0</v>
      </c>
      <c r="BG108" s="133">
        <f>IF($T$108="sníž. přenesená",$N$108,0)</f>
        <v>0</v>
      </c>
      <c r="BH108" s="133">
        <f>IF($T$108="nulová",$N$108,0)</f>
        <v>0</v>
      </c>
      <c r="BI108" s="7" t="s">
        <v>4</v>
      </c>
      <c r="BJ108" s="133">
        <f>ROUND($L$108*$K$108,2)</f>
        <v>0</v>
      </c>
      <c r="BK108" s="7" t="s">
        <v>141</v>
      </c>
    </row>
    <row r="109" spans="2:63" s="7" customFormat="1" ht="27" customHeight="1" x14ac:dyDescent="0.3">
      <c r="B109" s="53"/>
      <c r="C109" s="25">
        <v>39</v>
      </c>
      <c r="D109" s="25" t="s">
        <v>92</v>
      </c>
      <c r="E109" s="26" t="s">
        <v>157</v>
      </c>
      <c r="F109" s="200" t="s">
        <v>158</v>
      </c>
      <c r="G109" s="193"/>
      <c r="H109" s="193"/>
      <c r="I109" s="193"/>
      <c r="J109" s="127" t="s">
        <v>112</v>
      </c>
      <c r="K109" s="128">
        <v>20</v>
      </c>
      <c r="L109" s="194"/>
      <c r="M109" s="195"/>
      <c r="N109" s="196">
        <f t="shared" si="9"/>
        <v>0</v>
      </c>
      <c r="O109" s="193"/>
      <c r="P109" s="193"/>
      <c r="Q109" s="193"/>
      <c r="R109" s="54"/>
      <c r="S109" s="129"/>
      <c r="T109" s="130" t="s">
        <v>12</v>
      </c>
      <c r="U109" s="131">
        <v>5.2999999999999999E-2</v>
      </c>
      <c r="V109" s="131">
        <f>$U$109*$K$109</f>
        <v>1.06</v>
      </c>
      <c r="W109" s="131">
        <v>2.0000000000000002E-5</v>
      </c>
      <c r="X109" s="131">
        <f>$W$109*$K$109</f>
        <v>4.0000000000000002E-4</v>
      </c>
      <c r="Y109" s="131">
        <v>3.2000000000000002E-3</v>
      </c>
      <c r="Z109" s="132">
        <f>$Y$109*$K$109</f>
        <v>6.4000000000000001E-2</v>
      </c>
      <c r="AQ109" s="7" t="s">
        <v>141</v>
      </c>
      <c r="AS109" s="7" t="s">
        <v>92</v>
      </c>
      <c r="AT109" s="7" t="s">
        <v>42</v>
      </c>
      <c r="AX109" s="7" t="s">
        <v>91</v>
      </c>
      <c r="BD109" s="133">
        <f>IF($T$109="základní",$N$109,0)</f>
        <v>0</v>
      </c>
      <c r="BE109" s="133">
        <f>IF($T$109="snížená",$N$109,0)</f>
        <v>0</v>
      </c>
      <c r="BF109" s="133">
        <f>IF($T$109="zákl. přenesená",$N$109,0)</f>
        <v>0</v>
      </c>
      <c r="BG109" s="133">
        <f>IF($T$109="sníž. přenesená",$N$109,0)</f>
        <v>0</v>
      </c>
      <c r="BH109" s="133">
        <f>IF($T$109="nulová",$N$109,0)</f>
        <v>0</v>
      </c>
      <c r="BI109" s="7" t="s">
        <v>4</v>
      </c>
      <c r="BJ109" s="133">
        <f>ROUND($L$109*$K$109,2)</f>
        <v>0</v>
      </c>
      <c r="BK109" s="7" t="s">
        <v>141</v>
      </c>
    </row>
    <row r="110" spans="2:63" s="7" customFormat="1" ht="15.75" customHeight="1" x14ac:dyDescent="0.3">
      <c r="B110" s="53"/>
      <c r="C110" s="25">
        <v>40</v>
      </c>
      <c r="D110" s="25" t="s">
        <v>92</v>
      </c>
      <c r="E110" s="26" t="s">
        <v>159</v>
      </c>
      <c r="F110" s="200" t="s">
        <v>362</v>
      </c>
      <c r="G110" s="193"/>
      <c r="H110" s="193"/>
      <c r="I110" s="193"/>
      <c r="J110" s="127" t="s">
        <v>106</v>
      </c>
      <c r="K110" s="128">
        <v>6</v>
      </c>
      <c r="L110" s="194"/>
      <c r="M110" s="195"/>
      <c r="N110" s="196">
        <f t="shared" si="9"/>
        <v>0</v>
      </c>
      <c r="O110" s="193"/>
      <c r="P110" s="193"/>
      <c r="Q110" s="193"/>
      <c r="R110" s="54"/>
      <c r="S110" s="129"/>
      <c r="T110" s="130" t="s">
        <v>12</v>
      </c>
      <c r="U110" s="131">
        <v>9.2999999999999999E-2</v>
      </c>
      <c r="V110" s="131">
        <f>$U$110*$K$110</f>
        <v>0.55800000000000005</v>
      </c>
      <c r="W110" s="131">
        <v>4.0000000000000003E-5</v>
      </c>
      <c r="X110" s="131">
        <f>$W$110*$K$110</f>
        <v>2.4000000000000003E-4</v>
      </c>
      <c r="Y110" s="131">
        <v>7.0499999999999998E-3</v>
      </c>
      <c r="Z110" s="132">
        <f>$Y$110*$K$110</f>
        <v>4.2299999999999997E-2</v>
      </c>
      <c r="AQ110" s="7" t="s">
        <v>141</v>
      </c>
      <c r="AS110" s="7" t="s">
        <v>92</v>
      </c>
      <c r="AT110" s="7" t="s">
        <v>42</v>
      </c>
      <c r="AX110" s="7" t="s">
        <v>91</v>
      </c>
      <c r="BD110" s="133">
        <f>IF($T$110="základní",$N$110,0)</f>
        <v>0</v>
      </c>
      <c r="BE110" s="133">
        <f>IF($T$110="snížená",$N$110,0)</f>
        <v>0</v>
      </c>
      <c r="BF110" s="133">
        <f>IF($T$110="zákl. přenesená",$N$110,0)</f>
        <v>0</v>
      </c>
      <c r="BG110" s="133">
        <f>IF($T$110="sníž. přenesená",$N$110,0)</f>
        <v>0</v>
      </c>
      <c r="BH110" s="133">
        <f>IF($T$110="nulová",$N$110,0)</f>
        <v>0</v>
      </c>
      <c r="BI110" s="7" t="s">
        <v>4</v>
      </c>
      <c r="BJ110" s="133">
        <f>ROUND($L$110*$K$110,2)</f>
        <v>0</v>
      </c>
      <c r="BK110" s="7" t="s">
        <v>141</v>
      </c>
    </row>
    <row r="111" spans="2:63" s="7" customFormat="1" ht="27" customHeight="1" x14ac:dyDescent="0.3">
      <c r="B111" s="53"/>
      <c r="C111" s="25">
        <v>41</v>
      </c>
      <c r="D111" s="25" t="s">
        <v>92</v>
      </c>
      <c r="E111" s="26" t="s">
        <v>160</v>
      </c>
      <c r="F111" s="200" t="s">
        <v>161</v>
      </c>
      <c r="G111" s="193"/>
      <c r="H111" s="193"/>
      <c r="I111" s="193"/>
      <c r="J111" s="127" t="s">
        <v>112</v>
      </c>
      <c r="K111" s="128">
        <v>100</v>
      </c>
      <c r="L111" s="194"/>
      <c r="M111" s="195"/>
      <c r="N111" s="196">
        <f t="shared" si="9"/>
        <v>0</v>
      </c>
      <c r="O111" s="193"/>
      <c r="P111" s="193"/>
      <c r="Q111" s="193"/>
      <c r="R111" s="54"/>
      <c r="S111" s="129"/>
      <c r="T111" s="130" t="s">
        <v>12</v>
      </c>
      <c r="U111" s="131">
        <v>2.1000000000000001E-2</v>
      </c>
      <c r="V111" s="131">
        <f>$U$111*$K$111</f>
        <v>2.1</v>
      </c>
      <c r="W111" s="131">
        <v>0</v>
      </c>
      <c r="X111" s="131">
        <f>$W$111*$K$111</f>
        <v>0</v>
      </c>
      <c r="Y111" s="131">
        <v>0</v>
      </c>
      <c r="Z111" s="132">
        <f>$Y$111*$K$111</f>
        <v>0</v>
      </c>
      <c r="AQ111" s="7" t="s">
        <v>141</v>
      </c>
      <c r="AS111" s="7" t="s">
        <v>92</v>
      </c>
      <c r="AT111" s="7" t="s">
        <v>42</v>
      </c>
      <c r="AX111" s="7" t="s">
        <v>91</v>
      </c>
      <c r="BD111" s="133">
        <f>IF($T$111="základní",$N$111,0)</f>
        <v>0</v>
      </c>
      <c r="BE111" s="133">
        <f>IF($T$111="snížená",$N$111,0)</f>
        <v>0</v>
      </c>
      <c r="BF111" s="133">
        <f>IF($T$111="zákl. přenesená",$N$111,0)</f>
        <v>0</v>
      </c>
      <c r="BG111" s="133">
        <f>IF($T$111="sníž. přenesená",$N$111,0)</f>
        <v>0</v>
      </c>
      <c r="BH111" s="133">
        <f>IF($T$111="nulová",$N$111,0)</f>
        <v>0</v>
      </c>
      <c r="BI111" s="7" t="s">
        <v>4</v>
      </c>
      <c r="BJ111" s="133">
        <f>ROUND($L$111*$K$111,2)</f>
        <v>0</v>
      </c>
      <c r="BK111" s="7" t="s">
        <v>141</v>
      </c>
    </row>
    <row r="112" spans="2:63" s="62" customFormat="1" ht="30.75" customHeight="1" x14ac:dyDescent="0.3">
      <c r="B112" s="63"/>
      <c r="D112" s="64" t="s">
        <v>59</v>
      </c>
      <c r="L112" s="134"/>
      <c r="M112" s="134"/>
      <c r="N112" s="190">
        <f>+N113</f>
        <v>0</v>
      </c>
      <c r="O112" s="191"/>
      <c r="P112" s="191"/>
      <c r="Q112" s="191"/>
      <c r="R112" s="65"/>
      <c r="S112" s="122"/>
      <c r="V112" s="123">
        <f>$V$113</f>
        <v>0.68</v>
      </c>
      <c r="X112" s="123">
        <f>$X$113</f>
        <v>2.3999999999999998E-3</v>
      </c>
      <c r="Z112" s="124">
        <f>$Z$113</f>
        <v>0</v>
      </c>
      <c r="AQ112" s="125" t="s">
        <v>42</v>
      </c>
      <c r="AS112" s="125" t="s">
        <v>32</v>
      </c>
      <c r="AT112" s="125" t="s">
        <v>4</v>
      </c>
      <c r="AX112" s="125" t="s">
        <v>91</v>
      </c>
      <c r="BJ112" s="126">
        <f>$BJ$113</f>
        <v>0</v>
      </c>
    </row>
    <row r="113" spans="2:63" s="7" customFormat="1" ht="27" customHeight="1" x14ac:dyDescent="0.3">
      <c r="B113" s="53"/>
      <c r="C113" s="25">
        <v>42</v>
      </c>
      <c r="D113" s="25" t="s">
        <v>92</v>
      </c>
      <c r="E113" s="26" t="s">
        <v>162</v>
      </c>
      <c r="F113" s="192" t="s">
        <v>364</v>
      </c>
      <c r="G113" s="199"/>
      <c r="H113" s="199"/>
      <c r="I113" s="199"/>
      <c r="J113" s="127" t="s">
        <v>106</v>
      </c>
      <c r="K113" s="128">
        <v>2</v>
      </c>
      <c r="L113" s="194"/>
      <c r="M113" s="195"/>
      <c r="N113" s="196">
        <f>L113*K113</f>
        <v>0</v>
      </c>
      <c r="O113" s="193"/>
      <c r="P113" s="193"/>
      <c r="Q113" s="193"/>
      <c r="R113" s="54"/>
      <c r="S113" s="129"/>
      <c r="T113" s="130" t="s">
        <v>12</v>
      </c>
      <c r="U113" s="131">
        <v>0.34</v>
      </c>
      <c r="V113" s="131">
        <f>$U$113*$K$113</f>
        <v>0.68</v>
      </c>
      <c r="W113" s="131">
        <v>1.1999999999999999E-3</v>
      </c>
      <c r="X113" s="131">
        <f>$W$113*$K$113</f>
        <v>2.3999999999999998E-3</v>
      </c>
      <c r="Y113" s="131">
        <v>0</v>
      </c>
      <c r="Z113" s="132">
        <f>$Y$113*$K$113</f>
        <v>0</v>
      </c>
      <c r="AQ113" s="7" t="s">
        <v>141</v>
      </c>
      <c r="AS113" s="7" t="s">
        <v>92</v>
      </c>
      <c r="AT113" s="7" t="s">
        <v>42</v>
      </c>
      <c r="AX113" s="7" t="s">
        <v>91</v>
      </c>
      <c r="BD113" s="133">
        <f>IF($T$113="základní",$N$113,0)</f>
        <v>0</v>
      </c>
      <c r="BE113" s="133">
        <f>IF($T$113="snížená",$N$113,0)</f>
        <v>0</v>
      </c>
      <c r="BF113" s="133">
        <f>IF($T$113="zákl. přenesená",$N$113,0)</f>
        <v>0</v>
      </c>
      <c r="BG113" s="133">
        <f>IF($T$113="sníž. přenesená",$N$113,0)</f>
        <v>0</v>
      </c>
      <c r="BH113" s="133">
        <f>IF($T$113="nulová",$N$113,0)</f>
        <v>0</v>
      </c>
      <c r="BI113" s="7" t="s">
        <v>4</v>
      </c>
      <c r="BJ113" s="133">
        <f>ROUND($L$113*$K$113,2)</f>
        <v>0</v>
      </c>
      <c r="BK113" s="7" t="s">
        <v>141</v>
      </c>
    </row>
    <row r="114" spans="2:63" s="62" customFormat="1" ht="30.75" customHeight="1" x14ac:dyDescent="0.3">
      <c r="B114" s="63"/>
      <c r="D114" s="64" t="s">
        <v>60</v>
      </c>
      <c r="L114" s="134"/>
      <c r="M114" s="134"/>
      <c r="N114" s="190">
        <f>+N115</f>
        <v>0</v>
      </c>
      <c r="O114" s="191"/>
      <c r="P114" s="191"/>
      <c r="Q114" s="191"/>
      <c r="R114" s="65"/>
      <c r="S114" s="122"/>
      <c r="V114" s="123">
        <f>$V$115</f>
        <v>0.16400000000000001</v>
      </c>
      <c r="X114" s="123">
        <f>$X$115</f>
        <v>0</v>
      </c>
      <c r="Z114" s="124">
        <f>$Z$115</f>
        <v>2.1139999999999999E-2</v>
      </c>
      <c r="AQ114" s="125" t="s">
        <v>42</v>
      </c>
      <c r="AS114" s="125" t="s">
        <v>32</v>
      </c>
      <c r="AT114" s="125" t="s">
        <v>4</v>
      </c>
      <c r="AX114" s="125" t="s">
        <v>91</v>
      </c>
      <c r="BJ114" s="126">
        <f>$BJ$115</f>
        <v>0</v>
      </c>
    </row>
    <row r="115" spans="2:63" s="7" customFormat="1" ht="27" customHeight="1" x14ac:dyDescent="0.3">
      <c r="B115" s="53"/>
      <c r="C115" s="25">
        <v>43</v>
      </c>
      <c r="D115" s="25" t="s">
        <v>92</v>
      </c>
      <c r="E115" s="26" t="s">
        <v>163</v>
      </c>
      <c r="F115" s="200" t="s">
        <v>164</v>
      </c>
      <c r="G115" s="193"/>
      <c r="H115" s="193"/>
      <c r="I115" s="193"/>
      <c r="J115" s="127" t="s">
        <v>103</v>
      </c>
      <c r="K115" s="136">
        <v>2</v>
      </c>
      <c r="L115" s="194"/>
      <c r="M115" s="195"/>
      <c r="N115" s="196">
        <f>+L115*K115</f>
        <v>0</v>
      </c>
      <c r="O115" s="193"/>
      <c r="P115" s="193"/>
      <c r="Q115" s="193"/>
      <c r="R115" s="54"/>
      <c r="S115" s="129"/>
      <c r="T115" s="130" t="s">
        <v>12</v>
      </c>
      <c r="U115" s="131">
        <v>8.2000000000000003E-2</v>
      </c>
      <c r="V115" s="131">
        <f>$U$115*$K$115</f>
        <v>0.16400000000000001</v>
      </c>
      <c r="W115" s="131">
        <v>0</v>
      </c>
      <c r="X115" s="131">
        <f>$W$115*$K$115</f>
        <v>0</v>
      </c>
      <c r="Y115" s="131">
        <v>1.057E-2</v>
      </c>
      <c r="Z115" s="132">
        <f>$Y$115*$K$115</f>
        <v>2.1139999999999999E-2</v>
      </c>
      <c r="AQ115" s="7" t="s">
        <v>141</v>
      </c>
      <c r="AS115" s="7" t="s">
        <v>92</v>
      </c>
      <c r="AT115" s="7" t="s">
        <v>42</v>
      </c>
      <c r="AX115" s="7" t="s">
        <v>91</v>
      </c>
      <c r="BD115" s="133">
        <f>IF($T$115="základní",$N$115,0)</f>
        <v>0</v>
      </c>
      <c r="BE115" s="133">
        <f>IF($T$115="snížená",$N$115,0)</f>
        <v>0</v>
      </c>
      <c r="BF115" s="133">
        <f>IF($T$115="zákl. přenesená",$N$115,0)</f>
        <v>0</v>
      </c>
      <c r="BG115" s="133">
        <f>IF($T$115="sníž. přenesená",$N$115,0)</f>
        <v>0</v>
      </c>
      <c r="BH115" s="133">
        <f>IF($T$115="nulová",$N$115,0)</f>
        <v>0</v>
      </c>
      <c r="BI115" s="7" t="s">
        <v>4</v>
      </c>
      <c r="BJ115" s="133">
        <f>ROUND($L$115*$K$115,2)</f>
        <v>0</v>
      </c>
      <c r="BK115" s="7" t="s">
        <v>141</v>
      </c>
    </row>
    <row r="116" spans="2:63" s="62" customFormat="1" ht="30.75" customHeight="1" x14ac:dyDescent="0.3">
      <c r="B116" s="63"/>
      <c r="D116" s="64" t="s">
        <v>61</v>
      </c>
      <c r="L116" s="134"/>
      <c r="M116" s="134"/>
      <c r="N116" s="190">
        <f>N117+N118</f>
        <v>0</v>
      </c>
      <c r="O116" s="191"/>
      <c r="P116" s="191"/>
      <c r="Q116" s="191"/>
      <c r="R116" s="65"/>
      <c r="S116" s="122"/>
      <c r="V116" s="123" t="e">
        <f>$V$117+$V$118+#REF!</f>
        <v>#REF!</v>
      </c>
      <c r="X116" s="123" t="e">
        <f>$X$117+$X$118+#REF!</f>
        <v>#REF!</v>
      </c>
      <c r="Z116" s="124" t="e">
        <f>$Z$117+$Z$118+#REF!</f>
        <v>#REF!</v>
      </c>
      <c r="AQ116" s="125" t="s">
        <v>42</v>
      </c>
      <c r="AS116" s="125" t="s">
        <v>32</v>
      </c>
      <c r="AT116" s="125" t="s">
        <v>4</v>
      </c>
      <c r="AX116" s="125" t="s">
        <v>91</v>
      </c>
      <c r="BJ116" s="126" t="e">
        <f>$BJ$117+$BJ$118+#REF!</f>
        <v>#REF!</v>
      </c>
    </row>
    <row r="117" spans="2:63" s="7" customFormat="1" ht="15.75" customHeight="1" x14ac:dyDescent="0.3">
      <c r="B117" s="53"/>
      <c r="C117" s="25">
        <v>44</v>
      </c>
      <c r="D117" s="25" t="s">
        <v>92</v>
      </c>
      <c r="E117" s="26" t="s">
        <v>165</v>
      </c>
      <c r="F117" s="192" t="s">
        <v>369</v>
      </c>
      <c r="G117" s="193"/>
      <c r="H117" s="193"/>
      <c r="I117" s="193"/>
      <c r="J117" s="127" t="s">
        <v>166</v>
      </c>
      <c r="K117" s="128">
        <v>1</v>
      </c>
      <c r="L117" s="220">
        <f>Silnoproud!L13</f>
        <v>0</v>
      </c>
      <c r="M117" s="198"/>
      <c r="N117" s="196">
        <f t="shared" ref="N117:N118" si="10">+L117*K117</f>
        <v>0</v>
      </c>
      <c r="O117" s="193"/>
      <c r="P117" s="193"/>
      <c r="Q117" s="193"/>
      <c r="R117" s="54"/>
      <c r="S117" s="129"/>
      <c r="T117" s="130" t="s">
        <v>12</v>
      </c>
      <c r="U117" s="131">
        <v>0</v>
      </c>
      <c r="V117" s="131">
        <f>$U$117*$K$117</f>
        <v>0</v>
      </c>
      <c r="W117" s="131">
        <v>0</v>
      </c>
      <c r="X117" s="131">
        <f>$W$117*$K$117</f>
        <v>0</v>
      </c>
      <c r="Y117" s="131">
        <v>0</v>
      </c>
      <c r="Z117" s="132">
        <f>$Y$117*$K$117</f>
        <v>0</v>
      </c>
      <c r="AQ117" s="7" t="s">
        <v>141</v>
      </c>
      <c r="AS117" s="7" t="s">
        <v>92</v>
      </c>
      <c r="AT117" s="7" t="s">
        <v>42</v>
      </c>
      <c r="AX117" s="7" t="s">
        <v>91</v>
      </c>
      <c r="BD117" s="133">
        <f>IF($T$117="základní",$N$117,0)</f>
        <v>0</v>
      </c>
      <c r="BE117" s="133">
        <f>IF($T$117="snížená",$N$117,0)</f>
        <v>0</v>
      </c>
      <c r="BF117" s="133">
        <f>IF($T$117="zákl. přenesená",$N$117,0)</f>
        <v>0</v>
      </c>
      <c r="BG117" s="133">
        <f>IF($T$117="sníž. přenesená",$N$117,0)</f>
        <v>0</v>
      </c>
      <c r="BH117" s="133">
        <f>IF($T$117="nulová",$N$117,0)</f>
        <v>0</v>
      </c>
      <c r="BI117" s="7" t="s">
        <v>4</v>
      </c>
      <c r="BJ117" s="133">
        <f>ROUND($L$117*$K$117,2)</f>
        <v>0</v>
      </c>
      <c r="BK117" s="7" t="s">
        <v>141</v>
      </c>
    </row>
    <row r="118" spans="2:63" s="7" customFormat="1" ht="15.75" customHeight="1" x14ac:dyDescent="0.3">
      <c r="B118" s="53"/>
      <c r="C118" s="25">
        <v>45</v>
      </c>
      <c r="D118" s="25" t="s">
        <v>92</v>
      </c>
      <c r="E118" s="26" t="s">
        <v>167</v>
      </c>
      <c r="F118" s="192" t="s">
        <v>370</v>
      </c>
      <c r="G118" s="193"/>
      <c r="H118" s="193"/>
      <c r="I118" s="193"/>
      <c r="J118" s="127" t="s">
        <v>166</v>
      </c>
      <c r="K118" s="128">
        <v>1</v>
      </c>
      <c r="L118" s="220">
        <f>Slaboproud!N13</f>
        <v>0</v>
      </c>
      <c r="M118" s="198"/>
      <c r="N118" s="196">
        <f t="shared" si="10"/>
        <v>0</v>
      </c>
      <c r="O118" s="193"/>
      <c r="P118" s="193"/>
      <c r="Q118" s="193"/>
      <c r="R118" s="54"/>
      <c r="S118" s="129"/>
      <c r="T118" s="130" t="s">
        <v>12</v>
      </c>
      <c r="U118" s="131">
        <v>0</v>
      </c>
      <c r="V118" s="131">
        <f>$U$118*$K$118</f>
        <v>0</v>
      </c>
      <c r="W118" s="131">
        <v>0</v>
      </c>
      <c r="X118" s="131">
        <f>$W$118*$K$118</f>
        <v>0</v>
      </c>
      <c r="Y118" s="131">
        <v>0</v>
      </c>
      <c r="Z118" s="132">
        <f>$Y$118*$K$118</f>
        <v>0</v>
      </c>
      <c r="AQ118" s="7" t="s">
        <v>141</v>
      </c>
      <c r="AS118" s="7" t="s">
        <v>92</v>
      </c>
      <c r="AT118" s="7" t="s">
        <v>42</v>
      </c>
      <c r="AX118" s="7" t="s">
        <v>91</v>
      </c>
      <c r="BD118" s="133">
        <f>IF($T$118="základní",$N$118,0)</f>
        <v>0</v>
      </c>
      <c r="BE118" s="133">
        <f>IF($T$118="snížená",$N$118,0)</f>
        <v>0</v>
      </c>
      <c r="BF118" s="133">
        <f>IF($T$118="zákl. přenesená",$N$118,0)</f>
        <v>0</v>
      </c>
      <c r="BG118" s="133">
        <f>IF($T$118="sníž. přenesená",$N$118,0)</f>
        <v>0</v>
      </c>
      <c r="BH118" s="133">
        <f>IF($T$118="nulová",$N$118,0)</f>
        <v>0</v>
      </c>
      <c r="BI118" s="7" t="s">
        <v>4</v>
      </c>
      <c r="BJ118" s="133">
        <f>ROUND($L$118*$K$118,2)</f>
        <v>0</v>
      </c>
      <c r="BK118" s="7" t="s">
        <v>141</v>
      </c>
    </row>
    <row r="119" spans="2:63" s="62" customFormat="1" ht="30.75" customHeight="1" x14ac:dyDescent="0.3">
      <c r="B119" s="63"/>
      <c r="D119" s="64" t="s">
        <v>62</v>
      </c>
      <c r="L119" s="134"/>
      <c r="M119" s="134"/>
      <c r="N119" s="190">
        <f>SUM(N120:Q125)</f>
        <v>0</v>
      </c>
      <c r="O119" s="191"/>
      <c r="P119" s="191"/>
      <c r="Q119" s="191"/>
      <c r="R119" s="65"/>
      <c r="S119" s="122"/>
      <c r="V119" s="123">
        <f>SUM($V$120:$V$125)</f>
        <v>8.0030000000000001</v>
      </c>
      <c r="X119" s="123">
        <f>SUM($X$120:$X$125)</f>
        <v>0</v>
      </c>
      <c r="Z119" s="124">
        <f>SUM($Z$120:$Z$125)</f>
        <v>0.1014065</v>
      </c>
      <c r="AQ119" s="125" t="s">
        <v>42</v>
      </c>
      <c r="AS119" s="125" t="s">
        <v>32</v>
      </c>
      <c r="AT119" s="125" t="s">
        <v>4</v>
      </c>
      <c r="AX119" s="125" t="s">
        <v>91</v>
      </c>
      <c r="BJ119" s="126">
        <f>SUM($BJ$120:$BJ$125)</f>
        <v>0</v>
      </c>
    </row>
    <row r="120" spans="2:63" s="7" customFormat="1" ht="27" customHeight="1" x14ac:dyDescent="0.3">
      <c r="B120" s="53"/>
      <c r="C120" s="25">
        <v>46</v>
      </c>
      <c r="D120" s="25" t="s">
        <v>92</v>
      </c>
      <c r="E120" s="26" t="s">
        <v>168</v>
      </c>
      <c r="F120" s="200" t="s">
        <v>169</v>
      </c>
      <c r="G120" s="193"/>
      <c r="H120" s="193"/>
      <c r="I120" s="193"/>
      <c r="J120" s="127" t="s">
        <v>112</v>
      </c>
      <c r="K120" s="128">
        <v>1.65</v>
      </c>
      <c r="L120" s="194"/>
      <c r="M120" s="195"/>
      <c r="N120" s="196">
        <f t="shared" ref="N120:N125" si="11">+L120*K120</f>
        <v>0</v>
      </c>
      <c r="O120" s="193"/>
      <c r="P120" s="193"/>
      <c r="Q120" s="193"/>
      <c r="R120" s="54"/>
      <c r="S120" s="129"/>
      <c r="T120" s="130" t="s">
        <v>12</v>
      </c>
      <c r="U120" s="131">
        <v>0.45400000000000001</v>
      </c>
      <c r="V120" s="131">
        <f>$U$120*$K$120</f>
        <v>0.74909999999999999</v>
      </c>
      <c r="W120" s="131">
        <v>0</v>
      </c>
      <c r="X120" s="131">
        <f>$W$120*$K$120</f>
        <v>0</v>
      </c>
      <c r="Y120" s="131">
        <v>8.2100000000000003E-3</v>
      </c>
      <c r="Z120" s="132">
        <f>$Y$120*$K$120</f>
        <v>1.35465E-2</v>
      </c>
      <c r="AQ120" s="7" t="s">
        <v>141</v>
      </c>
      <c r="AS120" s="7" t="s">
        <v>92</v>
      </c>
      <c r="AT120" s="7" t="s">
        <v>42</v>
      </c>
      <c r="AX120" s="7" t="s">
        <v>91</v>
      </c>
      <c r="BD120" s="133">
        <f>IF($T$120="základní",$N$120,0)</f>
        <v>0</v>
      </c>
      <c r="BE120" s="133">
        <f>IF($T$120="snížená",$N$120,0)</f>
        <v>0</v>
      </c>
      <c r="BF120" s="133">
        <f>IF($T$120="zákl. přenesená",$N$120,0)</f>
        <v>0</v>
      </c>
      <c r="BG120" s="133">
        <f>IF($T$120="sníž. přenesená",$N$120,0)</f>
        <v>0</v>
      </c>
      <c r="BH120" s="133">
        <f>IF($T$120="nulová",$N$120,0)</f>
        <v>0</v>
      </c>
      <c r="BI120" s="7" t="s">
        <v>4</v>
      </c>
      <c r="BJ120" s="133">
        <f>ROUND($L$120*$K$120,2)</f>
        <v>0</v>
      </c>
      <c r="BK120" s="7" t="s">
        <v>141</v>
      </c>
    </row>
    <row r="121" spans="2:63" s="7" customFormat="1" ht="27" customHeight="1" x14ac:dyDescent="0.3">
      <c r="B121" s="53"/>
      <c r="C121" s="25">
        <v>47</v>
      </c>
      <c r="D121" s="25" t="s">
        <v>92</v>
      </c>
      <c r="E121" s="26" t="s">
        <v>170</v>
      </c>
      <c r="F121" s="200" t="s">
        <v>171</v>
      </c>
      <c r="G121" s="193"/>
      <c r="H121" s="193"/>
      <c r="I121" s="193"/>
      <c r="J121" s="127" t="s">
        <v>112</v>
      </c>
      <c r="K121" s="128">
        <v>4.5999999999999996</v>
      </c>
      <c r="L121" s="194"/>
      <c r="M121" s="195"/>
      <c r="N121" s="196">
        <f t="shared" si="11"/>
        <v>0</v>
      </c>
      <c r="O121" s="193"/>
      <c r="P121" s="193"/>
      <c r="Q121" s="193"/>
      <c r="R121" s="54"/>
      <c r="S121" s="129"/>
      <c r="T121" s="130" t="s">
        <v>12</v>
      </c>
      <c r="U121" s="131">
        <v>1.044</v>
      </c>
      <c r="V121" s="131">
        <f>$U$121*$K$121</f>
        <v>4.8023999999999996</v>
      </c>
      <c r="W121" s="131">
        <v>0</v>
      </c>
      <c r="X121" s="131">
        <f>$W$121*$K$121</f>
        <v>0</v>
      </c>
      <c r="Y121" s="131">
        <v>1.9099999999999999E-2</v>
      </c>
      <c r="Z121" s="132">
        <f>$Y$121*$K$121</f>
        <v>8.7859999999999994E-2</v>
      </c>
      <c r="AQ121" s="7" t="s">
        <v>141</v>
      </c>
      <c r="AS121" s="7" t="s">
        <v>92</v>
      </c>
      <c r="AT121" s="7" t="s">
        <v>42</v>
      </c>
      <c r="AX121" s="7" t="s">
        <v>91</v>
      </c>
      <c r="BD121" s="133">
        <f>IF($T$121="základní",$N$121,0)</f>
        <v>0</v>
      </c>
      <c r="BE121" s="133">
        <f>IF($T$121="snížená",$N$121,0)</f>
        <v>0</v>
      </c>
      <c r="BF121" s="133">
        <f>IF($T$121="zákl. přenesená",$N$121,0)</f>
        <v>0</v>
      </c>
      <c r="BG121" s="133">
        <f>IF($T$121="sníž. přenesená",$N$121,0)</f>
        <v>0</v>
      </c>
      <c r="BH121" s="133">
        <f>IF($T$121="nulová",$N$121,0)</f>
        <v>0</v>
      </c>
      <c r="BI121" s="7" t="s">
        <v>4</v>
      </c>
      <c r="BJ121" s="133">
        <f>ROUND($L$121*$K$121,2)</f>
        <v>0</v>
      </c>
      <c r="BK121" s="7" t="s">
        <v>141</v>
      </c>
    </row>
    <row r="122" spans="2:63" s="7" customFormat="1" ht="27" customHeight="1" x14ac:dyDescent="0.3">
      <c r="B122" s="53"/>
      <c r="C122" s="25">
        <v>48</v>
      </c>
      <c r="D122" s="25" t="s">
        <v>92</v>
      </c>
      <c r="E122" s="26" t="s">
        <v>172</v>
      </c>
      <c r="F122" s="200" t="s">
        <v>173</v>
      </c>
      <c r="G122" s="193"/>
      <c r="H122" s="193"/>
      <c r="I122" s="193"/>
      <c r="J122" s="127" t="s">
        <v>106</v>
      </c>
      <c r="K122" s="128">
        <v>2</v>
      </c>
      <c r="L122" s="194"/>
      <c r="M122" s="195"/>
      <c r="N122" s="196">
        <f t="shared" si="11"/>
        <v>0</v>
      </c>
      <c r="O122" s="193"/>
      <c r="P122" s="193"/>
      <c r="Q122" s="193"/>
      <c r="R122" s="54"/>
      <c r="S122" s="129"/>
      <c r="T122" s="130" t="s">
        <v>12</v>
      </c>
      <c r="U122" s="131">
        <v>0.83199999999999996</v>
      </c>
      <c r="V122" s="131">
        <f>$U$122*$K$122</f>
        <v>1.6639999999999999</v>
      </c>
      <c r="W122" s="131">
        <v>0</v>
      </c>
      <c r="X122" s="131">
        <f>$W$122*$K$122</f>
        <v>0</v>
      </c>
      <c r="Y122" s="131">
        <v>0</v>
      </c>
      <c r="Z122" s="132">
        <f>$Y$122*$K$122</f>
        <v>0</v>
      </c>
      <c r="AQ122" s="7" t="s">
        <v>141</v>
      </c>
      <c r="AS122" s="7" t="s">
        <v>92</v>
      </c>
      <c r="AT122" s="7" t="s">
        <v>42</v>
      </c>
      <c r="AX122" s="7" t="s">
        <v>91</v>
      </c>
      <c r="BD122" s="133">
        <f>IF($T$122="základní",$N$122,0)</f>
        <v>0</v>
      </c>
      <c r="BE122" s="133">
        <f>IF($T$122="snížená",$N$122,0)</f>
        <v>0</v>
      </c>
      <c r="BF122" s="133">
        <f>IF($T$122="zákl. přenesená",$N$122,0)</f>
        <v>0</v>
      </c>
      <c r="BG122" s="133">
        <f>IF($T$122="sníž. přenesená",$N$122,0)</f>
        <v>0</v>
      </c>
      <c r="BH122" s="133">
        <f>IF($T$122="nulová",$N$122,0)</f>
        <v>0</v>
      </c>
      <c r="BI122" s="7" t="s">
        <v>4</v>
      </c>
      <c r="BJ122" s="133">
        <f>ROUND($L$122*$K$122,2)</f>
        <v>0</v>
      </c>
      <c r="BK122" s="7" t="s">
        <v>141</v>
      </c>
    </row>
    <row r="123" spans="2:63" s="7" customFormat="1" ht="15.75" customHeight="1" x14ac:dyDescent="0.3">
      <c r="B123" s="53"/>
      <c r="C123" s="137">
        <v>49</v>
      </c>
      <c r="D123" s="137" t="s">
        <v>153</v>
      </c>
      <c r="E123" s="138" t="s">
        <v>174</v>
      </c>
      <c r="F123" s="201" t="s">
        <v>175</v>
      </c>
      <c r="G123" s="202"/>
      <c r="H123" s="202"/>
      <c r="I123" s="202"/>
      <c r="J123" s="139" t="s">
        <v>106</v>
      </c>
      <c r="K123" s="140">
        <v>2</v>
      </c>
      <c r="L123" s="203"/>
      <c r="M123" s="204"/>
      <c r="N123" s="196">
        <f t="shared" si="11"/>
        <v>0</v>
      </c>
      <c r="O123" s="193"/>
      <c r="P123" s="193"/>
      <c r="Q123" s="193"/>
      <c r="R123" s="54"/>
      <c r="S123" s="129"/>
      <c r="T123" s="130" t="s">
        <v>12</v>
      </c>
      <c r="U123" s="131">
        <v>0</v>
      </c>
      <c r="V123" s="131">
        <f>$U$123*$K$123</f>
        <v>0</v>
      </c>
      <c r="W123" s="131">
        <v>0</v>
      </c>
      <c r="X123" s="131">
        <f>$W$123*$K$123</f>
        <v>0</v>
      </c>
      <c r="Y123" s="131">
        <v>0</v>
      </c>
      <c r="Z123" s="132">
        <f>$Y$123*$K$123</f>
        <v>0</v>
      </c>
      <c r="AQ123" s="7" t="s">
        <v>117</v>
      </c>
      <c r="AS123" s="7" t="s">
        <v>153</v>
      </c>
      <c r="AT123" s="7" t="s">
        <v>42</v>
      </c>
      <c r="AX123" s="7" t="s">
        <v>91</v>
      </c>
      <c r="BD123" s="133">
        <f>IF($T$123="základní",$N$123,0)</f>
        <v>0</v>
      </c>
      <c r="BE123" s="133">
        <f>IF($T$123="snížená",$N$123,0)</f>
        <v>0</v>
      </c>
      <c r="BF123" s="133">
        <f>IF($T$123="zákl. přenesená",$N$123,0)</f>
        <v>0</v>
      </c>
      <c r="BG123" s="133">
        <f>IF($T$123="sníž. přenesená",$N$123,0)</f>
        <v>0</v>
      </c>
      <c r="BH123" s="133">
        <f>IF($T$123="nulová",$N$123,0)</f>
        <v>0</v>
      </c>
      <c r="BI123" s="7" t="s">
        <v>4</v>
      </c>
      <c r="BJ123" s="133">
        <f>ROUND($L$123*$K$123,2)</f>
        <v>0</v>
      </c>
      <c r="BK123" s="7" t="s">
        <v>141</v>
      </c>
    </row>
    <row r="124" spans="2:63" s="7" customFormat="1" ht="27" customHeight="1" x14ac:dyDescent="0.3">
      <c r="B124" s="53"/>
      <c r="C124" s="25">
        <v>50</v>
      </c>
      <c r="D124" s="25" t="s">
        <v>92</v>
      </c>
      <c r="E124" s="26" t="s">
        <v>176</v>
      </c>
      <c r="F124" s="200" t="s">
        <v>177</v>
      </c>
      <c r="G124" s="193"/>
      <c r="H124" s="193"/>
      <c r="I124" s="193"/>
      <c r="J124" s="127" t="s">
        <v>112</v>
      </c>
      <c r="K124" s="128">
        <v>1.5</v>
      </c>
      <c r="L124" s="194"/>
      <c r="M124" s="195"/>
      <c r="N124" s="196">
        <f t="shared" si="11"/>
        <v>0</v>
      </c>
      <c r="O124" s="193"/>
      <c r="P124" s="193"/>
      <c r="Q124" s="193"/>
      <c r="R124" s="54"/>
      <c r="S124" s="129"/>
      <c r="T124" s="130" t="s">
        <v>12</v>
      </c>
      <c r="U124" s="131">
        <v>0.52500000000000002</v>
      </c>
      <c r="V124" s="131">
        <f>$U$124*$K$124</f>
        <v>0.78750000000000009</v>
      </c>
      <c r="W124" s="131">
        <v>0</v>
      </c>
      <c r="X124" s="131">
        <f>$W$124*$K$124</f>
        <v>0</v>
      </c>
      <c r="Y124" s="131">
        <v>0</v>
      </c>
      <c r="Z124" s="132">
        <f>$Y$124*$K$124</f>
        <v>0</v>
      </c>
      <c r="AQ124" s="7" t="s">
        <v>141</v>
      </c>
      <c r="AS124" s="7" t="s">
        <v>92</v>
      </c>
      <c r="AT124" s="7" t="s">
        <v>42</v>
      </c>
      <c r="AX124" s="7" t="s">
        <v>91</v>
      </c>
      <c r="BD124" s="133">
        <f>IF($T$124="základní",$N$124,0)</f>
        <v>0</v>
      </c>
      <c r="BE124" s="133">
        <f>IF($T$124="snížená",$N$124,0)</f>
        <v>0</v>
      </c>
      <c r="BF124" s="133">
        <f>IF($T$124="zákl. přenesená",$N$124,0)</f>
        <v>0</v>
      </c>
      <c r="BG124" s="133">
        <f>IF($T$124="sníž. přenesená",$N$124,0)</f>
        <v>0</v>
      </c>
      <c r="BH124" s="133">
        <f>IF($T$124="nulová",$N$124,0)</f>
        <v>0</v>
      </c>
      <c r="BI124" s="7" t="s">
        <v>4</v>
      </c>
      <c r="BJ124" s="133">
        <f>ROUND($L$124*$K$124,2)</f>
        <v>0</v>
      </c>
      <c r="BK124" s="7" t="s">
        <v>141</v>
      </c>
    </row>
    <row r="125" spans="2:63" s="7" customFormat="1" ht="15.75" customHeight="1" x14ac:dyDescent="0.3">
      <c r="B125" s="53"/>
      <c r="C125" s="137">
        <v>51</v>
      </c>
      <c r="D125" s="137" t="s">
        <v>153</v>
      </c>
      <c r="E125" s="138" t="s">
        <v>178</v>
      </c>
      <c r="F125" s="201" t="s">
        <v>179</v>
      </c>
      <c r="G125" s="202"/>
      <c r="H125" s="202"/>
      <c r="I125" s="202"/>
      <c r="J125" s="139" t="s">
        <v>112</v>
      </c>
      <c r="K125" s="140">
        <v>1.5</v>
      </c>
      <c r="L125" s="203"/>
      <c r="M125" s="204"/>
      <c r="N125" s="196">
        <f t="shared" si="11"/>
        <v>0</v>
      </c>
      <c r="O125" s="193"/>
      <c r="P125" s="193"/>
      <c r="Q125" s="193"/>
      <c r="R125" s="54"/>
      <c r="S125" s="129"/>
      <c r="T125" s="130" t="s">
        <v>12</v>
      </c>
      <c r="U125" s="131">
        <v>0</v>
      </c>
      <c r="V125" s="131">
        <f>$U$125*$K$125</f>
        <v>0</v>
      </c>
      <c r="W125" s="131">
        <v>0</v>
      </c>
      <c r="X125" s="131">
        <f>$W$125*$K$125</f>
        <v>0</v>
      </c>
      <c r="Y125" s="131">
        <v>0</v>
      </c>
      <c r="Z125" s="132">
        <f>$Y$125*$K$125</f>
        <v>0</v>
      </c>
      <c r="AQ125" s="7" t="s">
        <v>117</v>
      </c>
      <c r="AS125" s="7" t="s">
        <v>153</v>
      </c>
      <c r="AT125" s="7" t="s">
        <v>42</v>
      </c>
      <c r="AX125" s="7" t="s">
        <v>91</v>
      </c>
      <c r="BD125" s="133">
        <f>IF($T$125="základní",$N$125,0)</f>
        <v>0</v>
      </c>
      <c r="BE125" s="133">
        <f>IF($T$125="snížená",$N$125,0)</f>
        <v>0</v>
      </c>
      <c r="BF125" s="133">
        <f>IF($T$125="zákl. přenesená",$N$125,0)</f>
        <v>0</v>
      </c>
      <c r="BG125" s="133">
        <f>IF($T$125="sníž. přenesená",$N$125,0)</f>
        <v>0</v>
      </c>
      <c r="BH125" s="133">
        <f>IF($T$125="nulová",$N$125,0)</f>
        <v>0</v>
      </c>
      <c r="BI125" s="7" t="s">
        <v>4</v>
      </c>
      <c r="BJ125" s="133">
        <f>ROUND($L$125*$K$125,2)</f>
        <v>0</v>
      </c>
      <c r="BK125" s="7" t="s">
        <v>141</v>
      </c>
    </row>
    <row r="126" spans="2:63" s="62" customFormat="1" ht="30.75" customHeight="1" x14ac:dyDescent="0.3">
      <c r="B126" s="63"/>
      <c r="D126" s="64" t="s">
        <v>63</v>
      </c>
      <c r="L126" s="134"/>
      <c r="M126" s="134"/>
      <c r="N126" s="190">
        <f>SUM(N127:Q143)</f>
        <v>0</v>
      </c>
      <c r="O126" s="191"/>
      <c r="P126" s="191"/>
      <c r="Q126" s="191"/>
      <c r="R126" s="65"/>
      <c r="S126" s="122"/>
      <c r="V126" s="123" t="e">
        <f>SUM($V$128:$V$143)</f>
        <v>#REF!</v>
      </c>
      <c r="X126" s="123" t="e">
        <f>SUM($X$128:$X$143)</f>
        <v>#REF!</v>
      </c>
      <c r="Z126" s="124" t="e">
        <f>SUM($Z$128:$Z$143)</f>
        <v>#REF!</v>
      </c>
      <c r="AQ126" s="125" t="s">
        <v>42</v>
      </c>
      <c r="AS126" s="125" t="s">
        <v>32</v>
      </c>
      <c r="AT126" s="125" t="s">
        <v>4</v>
      </c>
      <c r="AX126" s="125" t="s">
        <v>91</v>
      </c>
      <c r="BJ126" s="126" t="e">
        <f>SUM($BJ$128:$BJ$143)</f>
        <v>#REF!</v>
      </c>
    </row>
    <row r="127" spans="2:63" s="7" customFormat="1" ht="39" customHeight="1" x14ac:dyDescent="0.3">
      <c r="B127" s="53"/>
      <c r="C127" s="25">
        <v>52</v>
      </c>
      <c r="D127" s="25" t="s">
        <v>92</v>
      </c>
      <c r="E127" s="26" t="s">
        <v>180</v>
      </c>
      <c r="F127" s="200" t="s">
        <v>295</v>
      </c>
      <c r="G127" s="193"/>
      <c r="H127" s="193"/>
      <c r="I127" s="193"/>
      <c r="J127" s="127" t="s">
        <v>103</v>
      </c>
      <c r="K127" s="128">
        <v>51.3</v>
      </c>
      <c r="L127" s="194"/>
      <c r="M127" s="195"/>
      <c r="N127" s="196">
        <f t="shared" ref="N127" si="12">+L127*K127</f>
        <v>0</v>
      </c>
      <c r="O127" s="193"/>
      <c r="P127" s="193"/>
      <c r="Q127" s="193"/>
      <c r="R127" s="54"/>
      <c r="S127" s="129"/>
      <c r="T127" s="130" t="s">
        <v>12</v>
      </c>
      <c r="U127" s="131">
        <v>0</v>
      </c>
      <c r="V127" s="131">
        <f>$U$128*$K$128</f>
        <v>0</v>
      </c>
      <c r="W127" s="131">
        <v>0</v>
      </c>
      <c r="X127" s="131">
        <f>$W$128*$K$128</f>
        <v>0</v>
      </c>
      <c r="Y127" s="131">
        <v>0</v>
      </c>
      <c r="Z127" s="132">
        <f>$Y$128*$K$128</f>
        <v>0</v>
      </c>
      <c r="AQ127" s="7" t="s">
        <v>141</v>
      </c>
      <c r="AS127" s="7" t="s">
        <v>92</v>
      </c>
      <c r="AT127" s="7" t="s">
        <v>42</v>
      </c>
      <c r="AX127" s="7" t="s">
        <v>91</v>
      </c>
      <c r="BD127" s="133">
        <f>IF($T$128="základní",$N$128,0)</f>
        <v>0</v>
      </c>
      <c r="BE127" s="133">
        <f>IF($T$128="snížená",$N$128,0)</f>
        <v>0</v>
      </c>
      <c r="BF127" s="133">
        <f>IF($T$128="zákl. přenesená",$N$128,0)</f>
        <v>0</v>
      </c>
      <c r="BG127" s="133">
        <f>IF($T$128="sníž. přenesená",$N$128,0)</f>
        <v>0</v>
      </c>
      <c r="BH127" s="133">
        <f>IF($T$128="nulová",$N$128,0)</f>
        <v>0</v>
      </c>
      <c r="BI127" s="7" t="s">
        <v>4</v>
      </c>
      <c r="BJ127" s="133">
        <f>ROUND($L$128*$K$128,2)</f>
        <v>0</v>
      </c>
      <c r="BK127" s="7" t="s">
        <v>141</v>
      </c>
    </row>
    <row r="128" spans="2:63" s="7" customFormat="1" ht="28.5" customHeight="1" x14ac:dyDescent="0.3">
      <c r="B128" s="53"/>
      <c r="C128" s="25">
        <v>53</v>
      </c>
      <c r="D128" s="25" t="s">
        <v>92</v>
      </c>
      <c r="E128" s="26" t="s">
        <v>331</v>
      </c>
      <c r="F128" s="200" t="s">
        <v>309</v>
      </c>
      <c r="G128" s="193"/>
      <c r="H128" s="193"/>
      <c r="I128" s="193"/>
      <c r="J128" s="127" t="s">
        <v>103</v>
      </c>
      <c r="K128" s="128">
        <v>8.3000000000000007</v>
      </c>
      <c r="L128" s="194"/>
      <c r="M128" s="195"/>
      <c r="N128" s="196">
        <f t="shared" ref="N128:N141" si="13">+L128*K128</f>
        <v>0</v>
      </c>
      <c r="O128" s="193"/>
      <c r="P128" s="193"/>
      <c r="Q128" s="193"/>
      <c r="R128" s="54"/>
      <c r="S128" s="129"/>
      <c r="T128" s="130" t="s">
        <v>12</v>
      </c>
      <c r="U128" s="131">
        <v>0</v>
      </c>
      <c r="V128" s="131">
        <f>$U$128*$K$128</f>
        <v>0</v>
      </c>
      <c r="W128" s="131">
        <v>0</v>
      </c>
      <c r="X128" s="131">
        <f>$W$128*$K$128</f>
        <v>0</v>
      </c>
      <c r="Y128" s="131">
        <v>0</v>
      </c>
      <c r="Z128" s="132">
        <f>$Y$128*$K$128</f>
        <v>0</v>
      </c>
      <c r="AQ128" s="7" t="s">
        <v>141</v>
      </c>
      <c r="AS128" s="7" t="s">
        <v>92</v>
      </c>
      <c r="AT128" s="7" t="s">
        <v>42</v>
      </c>
      <c r="AX128" s="7" t="s">
        <v>91</v>
      </c>
      <c r="BD128" s="133">
        <f>IF($T$128="základní",$N$128,0)</f>
        <v>0</v>
      </c>
      <c r="BE128" s="133">
        <f>IF($T$128="snížená",$N$128,0)</f>
        <v>0</v>
      </c>
      <c r="BF128" s="133">
        <f>IF($T$128="zákl. přenesená",$N$128,0)</f>
        <v>0</v>
      </c>
      <c r="BG128" s="133">
        <f>IF($T$128="sníž. přenesená",$N$128,0)</f>
        <v>0</v>
      </c>
      <c r="BH128" s="133">
        <f>IF($T$128="nulová",$N$128,0)</f>
        <v>0</v>
      </c>
      <c r="BI128" s="7" t="s">
        <v>4</v>
      </c>
      <c r="BJ128" s="133">
        <f>ROUND($L$128*$K$128,2)</f>
        <v>0</v>
      </c>
      <c r="BK128" s="7" t="s">
        <v>141</v>
      </c>
    </row>
    <row r="129" spans="2:63" s="7" customFormat="1" ht="27" customHeight="1" x14ac:dyDescent="0.3">
      <c r="B129" s="53"/>
      <c r="C129" s="25">
        <v>54</v>
      </c>
      <c r="D129" s="25" t="s">
        <v>92</v>
      </c>
      <c r="E129" s="26" t="s">
        <v>182</v>
      </c>
      <c r="F129" s="229" t="s">
        <v>296</v>
      </c>
      <c r="G129" s="198"/>
      <c r="H129" s="198"/>
      <c r="I129" s="198"/>
      <c r="J129" s="127" t="s">
        <v>112</v>
      </c>
      <c r="K129" s="128">
        <v>13</v>
      </c>
      <c r="L129" s="194"/>
      <c r="M129" s="195"/>
      <c r="N129" s="196">
        <f t="shared" si="13"/>
        <v>0</v>
      </c>
      <c r="O129" s="193"/>
      <c r="P129" s="193"/>
      <c r="Q129" s="193"/>
      <c r="R129" s="54"/>
      <c r="S129" s="129"/>
      <c r="T129" s="130" t="s">
        <v>12</v>
      </c>
      <c r="U129" s="131">
        <v>0.23799999999999999</v>
      </c>
      <c r="V129" s="131">
        <f>$U$129*$K$129</f>
        <v>3.0939999999999999</v>
      </c>
      <c r="W129" s="131">
        <v>0</v>
      </c>
      <c r="X129" s="131">
        <f>$W$129*$K$129</f>
        <v>0</v>
      </c>
      <c r="Y129" s="131">
        <v>0</v>
      </c>
      <c r="Z129" s="132">
        <f>$Y$129*$K$129</f>
        <v>0</v>
      </c>
      <c r="AQ129" s="7" t="s">
        <v>141</v>
      </c>
      <c r="AS129" s="7" t="s">
        <v>92</v>
      </c>
      <c r="AT129" s="7" t="s">
        <v>42</v>
      </c>
      <c r="AX129" s="7" t="s">
        <v>91</v>
      </c>
      <c r="BD129" s="133">
        <f>IF($T$129="základní",$N$129,0)</f>
        <v>0</v>
      </c>
      <c r="BE129" s="133">
        <f>IF($T$129="snížená",$N$129,0)</f>
        <v>0</v>
      </c>
      <c r="BF129" s="133">
        <f>IF($T$129="zákl. přenesená",$N$129,0)</f>
        <v>0</v>
      </c>
      <c r="BG129" s="133">
        <f>IF($T$129="sníž. přenesená",$N$129,0)</f>
        <v>0</v>
      </c>
      <c r="BH129" s="133">
        <f>IF($T$129="nulová",$N$129,0)</f>
        <v>0</v>
      </c>
      <c r="BI129" s="7" t="s">
        <v>4</v>
      </c>
      <c r="BJ129" s="133">
        <f>ROUND($L$129*$K$129,2)</f>
        <v>0</v>
      </c>
      <c r="BK129" s="7" t="s">
        <v>141</v>
      </c>
    </row>
    <row r="130" spans="2:63" s="7" customFormat="1" ht="27" customHeight="1" x14ac:dyDescent="0.3">
      <c r="B130" s="53"/>
      <c r="C130" s="137">
        <v>55</v>
      </c>
      <c r="D130" s="137" t="s">
        <v>153</v>
      </c>
      <c r="E130" s="138" t="s">
        <v>183</v>
      </c>
      <c r="F130" s="230" t="s">
        <v>297</v>
      </c>
      <c r="G130" s="231"/>
      <c r="H130" s="231"/>
      <c r="I130" s="231"/>
      <c r="J130" s="139" t="s">
        <v>97</v>
      </c>
      <c r="K130" s="140">
        <v>8.5000000000000006E-2</v>
      </c>
      <c r="L130" s="203"/>
      <c r="M130" s="204"/>
      <c r="N130" s="196">
        <f t="shared" si="13"/>
        <v>0</v>
      </c>
      <c r="O130" s="193"/>
      <c r="P130" s="193"/>
      <c r="Q130" s="193"/>
      <c r="R130" s="54"/>
      <c r="S130" s="129"/>
      <c r="T130" s="130" t="s">
        <v>12</v>
      </c>
      <c r="U130" s="131">
        <v>0</v>
      </c>
      <c r="V130" s="131">
        <f>$U$130*$K$130</f>
        <v>0</v>
      </c>
      <c r="W130" s="131">
        <v>0.55000000000000004</v>
      </c>
      <c r="X130" s="131">
        <f>$W$130*$K$130</f>
        <v>4.6750000000000007E-2</v>
      </c>
      <c r="Y130" s="131">
        <v>0</v>
      </c>
      <c r="Z130" s="132">
        <f>$Y$130*$K$130</f>
        <v>0</v>
      </c>
      <c r="AQ130" s="7" t="s">
        <v>117</v>
      </c>
      <c r="AS130" s="7" t="s">
        <v>153</v>
      </c>
      <c r="AT130" s="7" t="s">
        <v>42</v>
      </c>
      <c r="AX130" s="7" t="s">
        <v>91</v>
      </c>
      <c r="BD130" s="133">
        <f>IF($T$130="základní",$N$130,0)</f>
        <v>0</v>
      </c>
      <c r="BE130" s="133">
        <f>IF($T$130="snížená",$N$130,0)</f>
        <v>0</v>
      </c>
      <c r="BF130" s="133">
        <f>IF($T$130="zákl. přenesená",$N$130,0)</f>
        <v>0</v>
      </c>
      <c r="BG130" s="133">
        <f>IF($T$130="sníž. přenesená",$N$130,0)</f>
        <v>0</v>
      </c>
      <c r="BH130" s="133">
        <f>IF($T$130="nulová",$N$130,0)</f>
        <v>0</v>
      </c>
      <c r="BI130" s="7" t="s">
        <v>4</v>
      </c>
      <c r="BJ130" s="133">
        <f>ROUND($L$130*$K$130,2)</f>
        <v>0</v>
      </c>
      <c r="BK130" s="7" t="s">
        <v>141</v>
      </c>
    </row>
    <row r="131" spans="2:63" s="7" customFormat="1" ht="27" customHeight="1" x14ac:dyDescent="0.3">
      <c r="B131" s="53"/>
      <c r="C131" s="25">
        <v>56</v>
      </c>
      <c r="D131" s="25" t="s">
        <v>92</v>
      </c>
      <c r="E131" s="26" t="s">
        <v>332</v>
      </c>
      <c r="F131" s="200" t="s">
        <v>298</v>
      </c>
      <c r="G131" s="193"/>
      <c r="H131" s="193"/>
      <c r="I131" s="193"/>
      <c r="J131" s="127" t="s">
        <v>103</v>
      </c>
      <c r="K131" s="128">
        <v>1.7</v>
      </c>
      <c r="L131" s="194"/>
      <c r="M131" s="195"/>
      <c r="N131" s="196">
        <f t="shared" ref="N131" si="14">+L131*K131</f>
        <v>0</v>
      </c>
      <c r="O131" s="193"/>
      <c r="P131" s="193"/>
      <c r="Q131" s="193"/>
      <c r="R131" s="54"/>
      <c r="S131" s="129"/>
      <c r="T131" s="130" t="s">
        <v>12</v>
      </c>
      <c r="U131" s="131">
        <v>0.25600000000000001</v>
      </c>
      <c r="V131" s="131">
        <f>$U$135*$K$135</f>
        <v>5.12</v>
      </c>
      <c r="W131" s="131">
        <v>7.6099999999999996E-3</v>
      </c>
      <c r="X131" s="131">
        <f>$W$135*$K$135</f>
        <v>0.1522</v>
      </c>
      <c r="Y131" s="131">
        <v>0</v>
      </c>
      <c r="Z131" s="132">
        <f>$Y$135*$K$135</f>
        <v>0</v>
      </c>
      <c r="AQ131" s="7" t="s">
        <v>141</v>
      </c>
      <c r="AS131" s="7" t="s">
        <v>92</v>
      </c>
      <c r="AT131" s="7" t="s">
        <v>42</v>
      </c>
      <c r="AX131" s="7" t="s">
        <v>91</v>
      </c>
      <c r="BD131" s="133">
        <f>IF($T$135="základní",$N$135,0)</f>
        <v>0</v>
      </c>
      <c r="BE131" s="133">
        <f>IF($T$135="snížená",$N$135,0)</f>
        <v>0</v>
      </c>
      <c r="BF131" s="133">
        <f>IF($T$135="zákl. přenesená",$N$135,0)</f>
        <v>0</v>
      </c>
      <c r="BG131" s="133">
        <f>IF($T$135="sníž. přenesená",$N$135,0)</f>
        <v>0</v>
      </c>
      <c r="BH131" s="133">
        <f>IF($T$135="nulová",$N$135,0)</f>
        <v>0</v>
      </c>
      <c r="BI131" s="7" t="s">
        <v>4</v>
      </c>
      <c r="BJ131" s="133">
        <f>ROUND($L$135*$K$135,2)</f>
        <v>0</v>
      </c>
      <c r="BK131" s="7" t="s">
        <v>141</v>
      </c>
    </row>
    <row r="132" spans="2:63" s="7" customFormat="1" ht="42" customHeight="1" x14ac:dyDescent="0.3">
      <c r="B132" s="53"/>
      <c r="C132" s="25">
        <v>57</v>
      </c>
      <c r="D132" s="25" t="s">
        <v>92</v>
      </c>
      <c r="E132" s="26" t="s">
        <v>184</v>
      </c>
      <c r="F132" s="200" t="s">
        <v>301</v>
      </c>
      <c r="G132" s="193"/>
      <c r="H132" s="193"/>
      <c r="I132" s="193"/>
      <c r="J132" s="127" t="s">
        <v>103</v>
      </c>
      <c r="K132" s="128">
        <v>12</v>
      </c>
      <c r="L132" s="194"/>
      <c r="M132" s="195"/>
      <c r="N132" s="196">
        <f t="shared" si="13"/>
        <v>0</v>
      </c>
      <c r="O132" s="193"/>
      <c r="P132" s="193"/>
      <c r="Q132" s="193"/>
      <c r="R132" s="54"/>
      <c r="S132" s="129"/>
      <c r="T132" s="130" t="s">
        <v>12</v>
      </c>
      <c r="U132" s="131">
        <v>0.28199999999999997</v>
      </c>
      <c r="V132" s="131">
        <f>$U$132*$K$132</f>
        <v>3.3839999999999995</v>
      </c>
      <c r="W132" s="131">
        <v>7.5700000000000003E-3</v>
      </c>
      <c r="X132" s="131">
        <f>$W$132*$K$132</f>
        <v>9.0840000000000004E-2</v>
      </c>
      <c r="Y132" s="131">
        <v>0</v>
      </c>
      <c r="Z132" s="132">
        <f>$Y$132*$K$132</f>
        <v>0</v>
      </c>
      <c r="AQ132" s="7" t="s">
        <v>141</v>
      </c>
      <c r="AS132" s="7" t="s">
        <v>92</v>
      </c>
      <c r="AT132" s="7" t="s">
        <v>42</v>
      </c>
      <c r="AX132" s="7" t="s">
        <v>91</v>
      </c>
      <c r="BD132" s="133">
        <f>IF($T$132="základní",$N$132,0)</f>
        <v>0</v>
      </c>
      <c r="BE132" s="133">
        <f>IF($T$132="snížená",$N$132,0)</f>
        <v>0</v>
      </c>
      <c r="BF132" s="133">
        <f>IF($T$132="zákl. přenesená",$N$132,0)</f>
        <v>0</v>
      </c>
      <c r="BG132" s="133">
        <f>IF($T$132="sníž. přenesená",$N$132,0)</f>
        <v>0</v>
      </c>
      <c r="BH132" s="133">
        <f>IF($T$132="nulová",$N$132,0)</f>
        <v>0</v>
      </c>
      <c r="BI132" s="7" t="s">
        <v>4</v>
      </c>
      <c r="BJ132" s="133">
        <f>ROUND($L$132*$K$132,2)</f>
        <v>0</v>
      </c>
      <c r="BK132" s="7" t="s">
        <v>141</v>
      </c>
    </row>
    <row r="133" spans="2:63" s="7" customFormat="1" ht="38.25" customHeight="1" x14ac:dyDescent="0.3">
      <c r="B133" s="53"/>
      <c r="C133" s="25">
        <v>58</v>
      </c>
      <c r="D133" s="25" t="s">
        <v>92</v>
      </c>
      <c r="E133" s="26" t="s">
        <v>185</v>
      </c>
      <c r="F133" s="200" t="s">
        <v>299</v>
      </c>
      <c r="G133" s="193"/>
      <c r="H133" s="193"/>
      <c r="I133" s="193"/>
      <c r="J133" s="127" t="s">
        <v>112</v>
      </c>
      <c r="K133" s="128">
        <v>30</v>
      </c>
      <c r="L133" s="194"/>
      <c r="M133" s="195"/>
      <c r="N133" s="196">
        <f t="shared" si="13"/>
        <v>0</v>
      </c>
      <c r="O133" s="193"/>
      <c r="P133" s="193"/>
      <c r="Q133" s="193"/>
      <c r="R133" s="54"/>
      <c r="S133" s="129"/>
      <c r="T133" s="130" t="s">
        <v>12</v>
      </c>
      <c r="U133" s="131">
        <v>0.14699999999999999</v>
      </c>
      <c r="V133" s="131">
        <f>$U$133*$K$133</f>
        <v>4.41</v>
      </c>
      <c r="W133" s="131">
        <v>2.0000000000000002E-5</v>
      </c>
      <c r="X133" s="131">
        <f>$W$133*$K$133</f>
        <v>6.0000000000000006E-4</v>
      </c>
      <c r="Y133" s="131">
        <v>0</v>
      </c>
      <c r="Z133" s="132">
        <f>$Y$133*$K$133</f>
        <v>0</v>
      </c>
      <c r="AQ133" s="7" t="s">
        <v>141</v>
      </c>
      <c r="AS133" s="7" t="s">
        <v>92</v>
      </c>
      <c r="AT133" s="7" t="s">
        <v>42</v>
      </c>
      <c r="AX133" s="7" t="s">
        <v>91</v>
      </c>
      <c r="BD133" s="133">
        <f>IF($T$133="základní",$N$133,0)</f>
        <v>0</v>
      </c>
      <c r="BE133" s="133">
        <f>IF($T$133="snížená",$N$133,0)</f>
        <v>0</v>
      </c>
      <c r="BF133" s="133">
        <f>IF($T$133="zákl. přenesená",$N$133,0)</f>
        <v>0</v>
      </c>
      <c r="BG133" s="133">
        <f>IF($T$133="sníž. přenesená",$N$133,0)</f>
        <v>0</v>
      </c>
      <c r="BH133" s="133">
        <f>IF($T$133="nulová",$N$133,0)</f>
        <v>0</v>
      </c>
      <c r="BI133" s="7" t="s">
        <v>4</v>
      </c>
      <c r="BJ133" s="133">
        <f>ROUND($L$133*$K$133,2)</f>
        <v>0</v>
      </c>
      <c r="BK133" s="7" t="s">
        <v>141</v>
      </c>
    </row>
    <row r="134" spans="2:63" s="7" customFormat="1" ht="27" customHeight="1" x14ac:dyDescent="0.3">
      <c r="B134" s="53"/>
      <c r="C134" s="137">
        <v>59</v>
      </c>
      <c r="D134" s="137" t="s">
        <v>153</v>
      </c>
      <c r="E134" s="138" t="s">
        <v>186</v>
      </c>
      <c r="F134" s="201" t="s">
        <v>300</v>
      </c>
      <c r="G134" s="202"/>
      <c r="H134" s="202"/>
      <c r="I134" s="202"/>
      <c r="J134" s="139" t="s">
        <v>97</v>
      </c>
      <c r="K134" s="140">
        <v>0.16800000000000001</v>
      </c>
      <c r="L134" s="203"/>
      <c r="M134" s="204"/>
      <c r="N134" s="196">
        <f t="shared" si="13"/>
        <v>0</v>
      </c>
      <c r="O134" s="193"/>
      <c r="P134" s="193"/>
      <c r="Q134" s="193"/>
      <c r="R134" s="54"/>
      <c r="S134" s="129"/>
      <c r="T134" s="130" t="s">
        <v>12</v>
      </c>
      <c r="U134" s="131">
        <v>0</v>
      </c>
      <c r="V134" s="131">
        <f>$U$134*$K$134</f>
        <v>0</v>
      </c>
      <c r="W134" s="131">
        <v>0.55000000000000004</v>
      </c>
      <c r="X134" s="131">
        <f>$W$134*$K$134</f>
        <v>9.240000000000001E-2</v>
      </c>
      <c r="Y134" s="131">
        <v>0</v>
      </c>
      <c r="Z134" s="132">
        <f>$Y$134*$K$134</f>
        <v>0</v>
      </c>
      <c r="AQ134" s="7" t="s">
        <v>117</v>
      </c>
      <c r="AS134" s="7" t="s">
        <v>153</v>
      </c>
      <c r="AT134" s="7" t="s">
        <v>42</v>
      </c>
      <c r="AX134" s="7" t="s">
        <v>91</v>
      </c>
      <c r="BD134" s="133">
        <f>IF($T$134="základní",$N$134,0)</f>
        <v>0</v>
      </c>
      <c r="BE134" s="133">
        <f>IF($T$134="snížená",$N$134,0)</f>
        <v>0</v>
      </c>
      <c r="BF134" s="133">
        <f>IF($T$134="zákl. přenesená",$N$134,0)</f>
        <v>0</v>
      </c>
      <c r="BG134" s="133">
        <f>IF($T$134="sníž. přenesená",$N$134,0)</f>
        <v>0</v>
      </c>
      <c r="BH134" s="133">
        <f>IF($T$134="nulová",$N$134,0)</f>
        <v>0</v>
      </c>
      <c r="BI134" s="7" t="s">
        <v>4</v>
      </c>
      <c r="BJ134" s="133">
        <f>ROUND($L$134*$K$134,2)</f>
        <v>0</v>
      </c>
      <c r="BK134" s="7" t="s">
        <v>141</v>
      </c>
    </row>
    <row r="135" spans="2:63" s="7" customFormat="1" ht="27" customHeight="1" x14ac:dyDescent="0.3">
      <c r="B135" s="53"/>
      <c r="C135" s="25">
        <v>60</v>
      </c>
      <c r="D135" s="25" t="s">
        <v>92</v>
      </c>
      <c r="E135" s="26" t="s">
        <v>187</v>
      </c>
      <c r="F135" s="200" t="s">
        <v>302</v>
      </c>
      <c r="G135" s="193"/>
      <c r="H135" s="193"/>
      <c r="I135" s="193"/>
      <c r="J135" s="127" t="s">
        <v>103</v>
      </c>
      <c r="K135" s="128">
        <v>20</v>
      </c>
      <c r="L135" s="194"/>
      <c r="M135" s="195"/>
      <c r="N135" s="196">
        <f t="shared" si="13"/>
        <v>0</v>
      </c>
      <c r="O135" s="193"/>
      <c r="P135" s="193"/>
      <c r="Q135" s="193"/>
      <c r="R135" s="54"/>
      <c r="S135" s="129"/>
      <c r="T135" s="130" t="s">
        <v>12</v>
      </c>
      <c r="U135" s="131">
        <v>0.25600000000000001</v>
      </c>
      <c r="V135" s="131">
        <f>$U$135*$K$135</f>
        <v>5.12</v>
      </c>
      <c r="W135" s="131">
        <v>7.6099999999999996E-3</v>
      </c>
      <c r="X135" s="131">
        <f>$W$135*$K$135</f>
        <v>0.1522</v>
      </c>
      <c r="Y135" s="131">
        <v>0</v>
      </c>
      <c r="Z135" s="132">
        <f>$Y$135*$K$135</f>
        <v>0</v>
      </c>
      <c r="AQ135" s="7" t="s">
        <v>141</v>
      </c>
      <c r="AS135" s="7" t="s">
        <v>92</v>
      </c>
      <c r="AT135" s="7" t="s">
        <v>42</v>
      </c>
      <c r="AX135" s="7" t="s">
        <v>91</v>
      </c>
      <c r="BD135" s="133">
        <f>IF($T$135="základní",$N$135,0)</f>
        <v>0</v>
      </c>
      <c r="BE135" s="133">
        <f>IF($T$135="snížená",$N$135,0)</f>
        <v>0</v>
      </c>
      <c r="BF135" s="133">
        <f>IF($T$135="zákl. přenesená",$N$135,0)</f>
        <v>0</v>
      </c>
      <c r="BG135" s="133">
        <f>IF($T$135="sníž. přenesená",$N$135,0)</f>
        <v>0</v>
      </c>
      <c r="BH135" s="133">
        <f>IF($T$135="nulová",$N$135,0)</f>
        <v>0</v>
      </c>
      <c r="BI135" s="7" t="s">
        <v>4</v>
      </c>
      <c r="BJ135" s="133">
        <f>ROUND($L$135*$K$135,2)</f>
        <v>0</v>
      </c>
      <c r="BK135" s="7" t="s">
        <v>141</v>
      </c>
    </row>
    <row r="136" spans="2:63" s="7" customFormat="1" ht="38.25" customHeight="1" x14ac:dyDescent="0.3">
      <c r="B136" s="53"/>
      <c r="C136" s="25">
        <v>61</v>
      </c>
      <c r="D136" s="25" t="s">
        <v>92</v>
      </c>
      <c r="E136" s="26" t="s">
        <v>185</v>
      </c>
      <c r="F136" s="200" t="s">
        <v>303</v>
      </c>
      <c r="G136" s="193"/>
      <c r="H136" s="193"/>
      <c r="I136" s="193"/>
      <c r="J136" s="127" t="s">
        <v>112</v>
      </c>
      <c r="K136" s="128">
        <v>40</v>
      </c>
      <c r="L136" s="194"/>
      <c r="M136" s="195"/>
      <c r="N136" s="196">
        <f t="shared" ref="N136" si="15">+L136*K136</f>
        <v>0</v>
      </c>
      <c r="O136" s="193"/>
      <c r="P136" s="193"/>
      <c r="Q136" s="193"/>
      <c r="R136" s="54"/>
      <c r="S136" s="129"/>
      <c r="T136" s="130" t="s">
        <v>12</v>
      </c>
      <c r="U136" s="131">
        <v>0.14699999999999999</v>
      </c>
      <c r="V136" s="131">
        <f>$U$133*$K$133</f>
        <v>4.41</v>
      </c>
      <c r="W136" s="131">
        <v>2.0000000000000002E-5</v>
      </c>
      <c r="X136" s="131">
        <f>$W$133*$K$133</f>
        <v>6.0000000000000006E-4</v>
      </c>
      <c r="Y136" s="131">
        <v>0</v>
      </c>
      <c r="Z136" s="132">
        <f>$Y$133*$K$133</f>
        <v>0</v>
      </c>
      <c r="AQ136" s="7" t="s">
        <v>141</v>
      </c>
      <c r="AS136" s="7" t="s">
        <v>92</v>
      </c>
      <c r="AT136" s="7" t="s">
        <v>42</v>
      </c>
      <c r="AX136" s="7" t="s">
        <v>91</v>
      </c>
      <c r="BD136" s="133">
        <f>IF($T$133="základní",$N$133,0)</f>
        <v>0</v>
      </c>
      <c r="BE136" s="133">
        <f>IF($T$133="snížená",$N$133,0)</f>
        <v>0</v>
      </c>
      <c r="BF136" s="133">
        <f>IF($T$133="zákl. přenesená",$N$133,0)</f>
        <v>0</v>
      </c>
      <c r="BG136" s="133">
        <f>IF($T$133="sníž. přenesená",$N$133,0)</f>
        <v>0</v>
      </c>
      <c r="BH136" s="133">
        <f>IF($T$133="nulová",$N$133,0)</f>
        <v>0</v>
      </c>
      <c r="BI136" s="7" t="s">
        <v>4</v>
      </c>
      <c r="BJ136" s="133">
        <f>ROUND($L$133*$K$133,2)</f>
        <v>0</v>
      </c>
      <c r="BK136" s="7" t="s">
        <v>141</v>
      </c>
    </row>
    <row r="137" spans="2:63" s="7" customFormat="1" ht="27" customHeight="1" x14ac:dyDescent="0.3">
      <c r="B137" s="53"/>
      <c r="C137" s="25">
        <v>62</v>
      </c>
      <c r="D137" s="25" t="s">
        <v>92</v>
      </c>
      <c r="E137" s="26" t="s">
        <v>181</v>
      </c>
      <c r="F137" s="200" t="s">
        <v>304</v>
      </c>
      <c r="G137" s="193"/>
      <c r="H137" s="193"/>
      <c r="I137" s="193"/>
      <c r="J137" s="127" t="s">
        <v>103</v>
      </c>
      <c r="K137" s="128">
        <v>12</v>
      </c>
      <c r="L137" s="194"/>
      <c r="M137" s="195"/>
      <c r="N137" s="196">
        <f>+L137*K137</f>
        <v>0</v>
      </c>
      <c r="O137" s="193"/>
      <c r="P137" s="193"/>
      <c r="Q137" s="193"/>
      <c r="R137" s="54"/>
      <c r="S137" s="129"/>
      <c r="T137" s="130" t="s">
        <v>12</v>
      </c>
      <c r="U137" s="131">
        <v>0.114</v>
      </c>
      <c r="V137" s="131">
        <f>$U$137*$K$137</f>
        <v>1.3680000000000001</v>
      </c>
      <c r="W137" s="131">
        <v>0</v>
      </c>
      <c r="X137" s="131">
        <f>$W$137*$K$137</f>
        <v>0</v>
      </c>
      <c r="Y137" s="131">
        <v>2.1999999999999999E-2</v>
      </c>
      <c r="Z137" s="132">
        <f>$Y$137*$K$137</f>
        <v>0.26400000000000001</v>
      </c>
      <c r="AQ137" s="7" t="s">
        <v>141</v>
      </c>
      <c r="AS137" s="7" t="s">
        <v>92</v>
      </c>
      <c r="AT137" s="7" t="s">
        <v>42</v>
      </c>
      <c r="AX137" s="7" t="s">
        <v>91</v>
      </c>
      <c r="BD137" s="133">
        <f>IF($T$137="základní",$N$137,0)</f>
        <v>0</v>
      </c>
      <c r="BE137" s="133">
        <f>IF($T$137="snížená",$N$137,0)</f>
        <v>0</v>
      </c>
      <c r="BF137" s="133">
        <f>IF($T$137="zákl. přenesená",$N$137,0)</f>
        <v>0</v>
      </c>
      <c r="BG137" s="133">
        <f>IF($T$137="sníž. přenesená",$N$137,0)</f>
        <v>0</v>
      </c>
      <c r="BH137" s="133">
        <f>IF($T$137="nulová",$N$137,0)</f>
        <v>0</v>
      </c>
      <c r="BI137" s="7" t="s">
        <v>4</v>
      </c>
      <c r="BJ137" s="133">
        <f>ROUND($L$137*$K$137,2)</f>
        <v>0</v>
      </c>
      <c r="BK137" s="7" t="s">
        <v>141</v>
      </c>
    </row>
    <row r="138" spans="2:63" s="7" customFormat="1" ht="27" customHeight="1" x14ac:dyDescent="0.3">
      <c r="B138" s="53"/>
      <c r="C138" s="25">
        <v>63</v>
      </c>
      <c r="D138" s="25" t="s">
        <v>92</v>
      </c>
      <c r="E138" s="26" t="s">
        <v>188</v>
      </c>
      <c r="F138" s="200" t="s">
        <v>305</v>
      </c>
      <c r="G138" s="193"/>
      <c r="H138" s="193"/>
      <c r="I138" s="193"/>
      <c r="J138" s="127" t="s">
        <v>103</v>
      </c>
      <c r="K138" s="128">
        <v>40</v>
      </c>
      <c r="L138" s="194"/>
      <c r="M138" s="195"/>
      <c r="N138" s="196">
        <f t="shared" si="13"/>
        <v>0</v>
      </c>
      <c r="O138" s="193"/>
      <c r="P138" s="193"/>
      <c r="Q138" s="193"/>
      <c r="R138" s="54"/>
      <c r="S138" s="129"/>
      <c r="T138" s="130" t="s">
        <v>12</v>
      </c>
      <c r="U138" s="131">
        <v>0.124</v>
      </c>
      <c r="V138" s="131">
        <f>$U$138*$K$138</f>
        <v>4.96</v>
      </c>
      <c r="W138" s="131">
        <v>0</v>
      </c>
      <c r="X138" s="131">
        <f>$W$138*$K$138</f>
        <v>0</v>
      </c>
      <c r="Y138" s="131">
        <v>9.4800000000000006E-3</v>
      </c>
      <c r="Z138" s="132">
        <f>$Y$138*$K$138</f>
        <v>0.37920000000000004</v>
      </c>
      <c r="AQ138" s="7" t="s">
        <v>141</v>
      </c>
      <c r="AS138" s="7" t="s">
        <v>92</v>
      </c>
      <c r="AT138" s="7" t="s">
        <v>42</v>
      </c>
      <c r="AX138" s="7" t="s">
        <v>91</v>
      </c>
      <c r="BD138" s="133">
        <f>IF($T$138="základní",$N$138,0)</f>
        <v>0</v>
      </c>
      <c r="BE138" s="133">
        <f>IF($T$138="snížená",$N$138,0)</f>
        <v>0</v>
      </c>
      <c r="BF138" s="133">
        <f>IF($T$138="zákl. přenesená",$N$138,0)</f>
        <v>0</v>
      </c>
      <c r="BG138" s="133">
        <f>IF($T$138="sníž. přenesená",$N$138,0)</f>
        <v>0</v>
      </c>
      <c r="BH138" s="133">
        <f>IF($T$138="nulová",$N$138,0)</f>
        <v>0</v>
      </c>
      <c r="BI138" s="7" t="s">
        <v>4</v>
      </c>
      <c r="BJ138" s="133">
        <f>ROUND($L$138*$K$138,2)</f>
        <v>0</v>
      </c>
      <c r="BK138" s="7" t="s">
        <v>141</v>
      </c>
    </row>
    <row r="139" spans="2:63" s="150" customFormat="1" ht="27" customHeight="1" x14ac:dyDescent="0.3">
      <c r="B139" s="141"/>
      <c r="C139" s="142">
        <v>64</v>
      </c>
      <c r="D139" s="142" t="s">
        <v>92</v>
      </c>
      <c r="E139" s="143" t="s">
        <v>359</v>
      </c>
      <c r="F139" s="205" t="s">
        <v>354</v>
      </c>
      <c r="G139" s="206"/>
      <c r="H139" s="206"/>
      <c r="I139" s="207"/>
      <c r="J139" s="144" t="s">
        <v>103</v>
      </c>
      <c r="K139" s="136">
        <v>29.5</v>
      </c>
      <c r="L139" s="194"/>
      <c r="M139" s="195"/>
      <c r="N139" s="208">
        <f t="shared" ref="N139:N140" si="16">+L139*K139</f>
        <v>0</v>
      </c>
      <c r="O139" s="209"/>
      <c r="P139" s="209"/>
      <c r="Q139" s="210"/>
      <c r="R139" s="145"/>
      <c r="S139" s="146"/>
      <c r="T139" s="147" t="s">
        <v>12</v>
      </c>
      <c r="U139" s="148">
        <v>0.2</v>
      </c>
      <c r="V139" s="148">
        <f>$U$141*$K$141</f>
        <v>19.900000000000002</v>
      </c>
      <c r="W139" s="148">
        <v>7.8300000000000002E-3</v>
      </c>
      <c r="X139" s="148">
        <f>$W$141*$K$141</f>
        <v>0.77908500000000003</v>
      </c>
      <c r="Y139" s="148">
        <v>0</v>
      </c>
      <c r="Z139" s="149">
        <f>$Y$141*$K$141</f>
        <v>0</v>
      </c>
      <c r="AQ139" s="150" t="s">
        <v>141</v>
      </c>
      <c r="AS139" s="150" t="s">
        <v>92</v>
      </c>
      <c r="AT139" s="150" t="s">
        <v>42</v>
      </c>
      <c r="AX139" s="150" t="s">
        <v>91</v>
      </c>
      <c r="BD139" s="151">
        <f>IF($T$141="základní",$N$141,0)</f>
        <v>0</v>
      </c>
      <c r="BE139" s="151">
        <f>IF($T$141="snížená",$N$141,0)</f>
        <v>0</v>
      </c>
      <c r="BF139" s="151">
        <f>IF($T$141="zákl. přenesená",$N$141,0)</f>
        <v>0</v>
      </c>
      <c r="BG139" s="151">
        <f>IF($T$141="sníž. přenesená",$N$141,0)</f>
        <v>0</v>
      </c>
      <c r="BH139" s="151">
        <f>IF($T$141="nulová",$N$141,0)</f>
        <v>0</v>
      </c>
      <c r="BI139" s="150" t="s">
        <v>4</v>
      </c>
      <c r="BJ139" s="151">
        <f>ROUND($L$141*$K$141,2)</f>
        <v>0</v>
      </c>
      <c r="BK139" s="150" t="s">
        <v>141</v>
      </c>
    </row>
    <row r="140" spans="2:63" s="150" customFormat="1" ht="27" customHeight="1" x14ac:dyDescent="0.3">
      <c r="B140" s="141"/>
      <c r="C140" s="142">
        <v>65</v>
      </c>
      <c r="D140" s="142" t="s">
        <v>92</v>
      </c>
      <c r="E140" s="143" t="s">
        <v>191</v>
      </c>
      <c r="F140" s="197" t="s">
        <v>355</v>
      </c>
      <c r="G140" s="198"/>
      <c r="H140" s="198"/>
      <c r="I140" s="198"/>
      <c r="J140" s="144" t="s">
        <v>103</v>
      </c>
      <c r="K140" s="136">
        <v>29.5</v>
      </c>
      <c r="L140" s="194"/>
      <c r="M140" s="195"/>
      <c r="N140" s="220">
        <f t="shared" si="16"/>
        <v>0</v>
      </c>
      <c r="O140" s="198"/>
      <c r="P140" s="198"/>
      <c r="Q140" s="198"/>
      <c r="R140" s="145"/>
      <c r="S140" s="146"/>
      <c r="T140" s="147" t="s">
        <v>12</v>
      </c>
      <c r="U140" s="148">
        <v>0.09</v>
      </c>
      <c r="V140" s="148" t="e">
        <f>#REF!*#REF!</f>
        <v>#REF!</v>
      </c>
      <c r="W140" s="148">
        <v>0</v>
      </c>
      <c r="X140" s="148" t="e">
        <f>#REF!*#REF!</f>
        <v>#REF!</v>
      </c>
      <c r="Y140" s="148">
        <v>0.03</v>
      </c>
      <c r="Z140" s="149" t="e">
        <f>#REF!*#REF!</f>
        <v>#REF!</v>
      </c>
      <c r="AQ140" s="150" t="s">
        <v>141</v>
      </c>
      <c r="AS140" s="150" t="s">
        <v>92</v>
      </c>
      <c r="AT140" s="150" t="s">
        <v>42</v>
      </c>
      <c r="AX140" s="150" t="s">
        <v>91</v>
      </c>
      <c r="BD140" s="151" t="e">
        <f>IF(#REF!="základní",#REF!,0)</f>
        <v>#REF!</v>
      </c>
      <c r="BE140" s="151" t="e">
        <f>IF(#REF!="snížená",#REF!,0)</f>
        <v>#REF!</v>
      </c>
      <c r="BF140" s="151" t="e">
        <f>IF(#REF!="zákl. přenesená",#REF!,0)</f>
        <v>#REF!</v>
      </c>
      <c r="BG140" s="151" t="e">
        <f>IF(#REF!="sníž. přenesená",#REF!,0)</f>
        <v>#REF!</v>
      </c>
      <c r="BH140" s="151" t="e">
        <f>IF(#REF!="nulová",#REF!,0)</f>
        <v>#REF!</v>
      </c>
      <c r="BI140" s="150" t="s">
        <v>4</v>
      </c>
      <c r="BJ140" s="151" t="e">
        <f>ROUND(#REF!*#REF!,2)</f>
        <v>#REF!</v>
      </c>
      <c r="BK140" s="150" t="s">
        <v>141</v>
      </c>
    </row>
    <row r="141" spans="2:63" s="7" customFormat="1" ht="27" customHeight="1" x14ac:dyDescent="0.3">
      <c r="B141" s="53"/>
      <c r="C141" s="25">
        <v>66</v>
      </c>
      <c r="D141" s="25" t="s">
        <v>92</v>
      </c>
      <c r="E141" s="26" t="s">
        <v>190</v>
      </c>
      <c r="F141" s="221" t="s">
        <v>306</v>
      </c>
      <c r="G141" s="222"/>
      <c r="H141" s="222"/>
      <c r="I141" s="223"/>
      <c r="J141" s="127" t="s">
        <v>103</v>
      </c>
      <c r="K141" s="136">
        <v>99.5</v>
      </c>
      <c r="L141" s="224"/>
      <c r="M141" s="225"/>
      <c r="N141" s="226">
        <f t="shared" si="13"/>
        <v>0</v>
      </c>
      <c r="O141" s="227"/>
      <c r="P141" s="227"/>
      <c r="Q141" s="228"/>
      <c r="R141" s="54"/>
      <c r="S141" s="129"/>
      <c r="T141" s="130" t="s">
        <v>12</v>
      </c>
      <c r="U141" s="131">
        <v>0.2</v>
      </c>
      <c r="V141" s="131">
        <f>$U$141*$K$141</f>
        <v>19.900000000000002</v>
      </c>
      <c r="W141" s="131">
        <v>7.8300000000000002E-3</v>
      </c>
      <c r="X141" s="131">
        <f>$W$141*$K$141</f>
        <v>0.77908500000000003</v>
      </c>
      <c r="Y141" s="131">
        <v>0</v>
      </c>
      <c r="Z141" s="132">
        <f>$Y$141*$K$141</f>
        <v>0</v>
      </c>
      <c r="AQ141" s="7" t="s">
        <v>141</v>
      </c>
      <c r="AS141" s="7" t="s">
        <v>92</v>
      </c>
      <c r="AT141" s="7" t="s">
        <v>42</v>
      </c>
      <c r="AX141" s="7" t="s">
        <v>91</v>
      </c>
      <c r="BD141" s="133">
        <f>IF($T$141="základní",$N$141,0)</f>
        <v>0</v>
      </c>
      <c r="BE141" s="133">
        <f>IF($T$141="snížená",$N$141,0)</f>
        <v>0</v>
      </c>
      <c r="BF141" s="133">
        <f>IF($T$141="zákl. přenesená",$N$141,0)</f>
        <v>0</v>
      </c>
      <c r="BG141" s="133">
        <f>IF($T$141="sníž. přenesená",$N$141,0)</f>
        <v>0</v>
      </c>
      <c r="BH141" s="133">
        <f>IF($T$141="nulová",$N$141,0)</f>
        <v>0</v>
      </c>
      <c r="BI141" s="7" t="s">
        <v>4</v>
      </c>
      <c r="BJ141" s="133">
        <f>ROUND($L$141*$K$141,2)</f>
        <v>0</v>
      </c>
      <c r="BK141" s="7" t="s">
        <v>141</v>
      </c>
    </row>
    <row r="142" spans="2:63" s="7" customFormat="1" ht="27" customHeight="1" x14ac:dyDescent="0.3">
      <c r="B142" s="53"/>
      <c r="C142" s="25">
        <v>67</v>
      </c>
      <c r="D142" s="25" t="s">
        <v>92</v>
      </c>
      <c r="E142" s="26" t="s">
        <v>191</v>
      </c>
      <c r="F142" s="200" t="s">
        <v>307</v>
      </c>
      <c r="G142" s="193"/>
      <c r="H142" s="193"/>
      <c r="I142" s="193"/>
      <c r="J142" s="127" t="s">
        <v>103</v>
      </c>
      <c r="K142" s="128">
        <f>21.5+99.5</f>
        <v>121</v>
      </c>
      <c r="L142" s="194"/>
      <c r="M142" s="195"/>
      <c r="N142" s="196">
        <f t="shared" ref="N142" si="17">+L142*K142</f>
        <v>0</v>
      </c>
      <c r="O142" s="193"/>
      <c r="P142" s="193"/>
      <c r="Q142" s="193"/>
      <c r="R142" s="54"/>
      <c r="S142" s="129"/>
      <c r="T142" s="130" t="s">
        <v>12</v>
      </c>
      <c r="U142" s="131">
        <v>0.09</v>
      </c>
      <c r="V142" s="131" t="e">
        <f>#REF!*#REF!</f>
        <v>#REF!</v>
      </c>
      <c r="W142" s="131">
        <v>0</v>
      </c>
      <c r="X142" s="131" t="e">
        <f>#REF!*#REF!</f>
        <v>#REF!</v>
      </c>
      <c r="Y142" s="131">
        <v>0.03</v>
      </c>
      <c r="Z142" s="132" t="e">
        <f>#REF!*#REF!</f>
        <v>#REF!</v>
      </c>
      <c r="AQ142" s="7" t="s">
        <v>141</v>
      </c>
      <c r="AS142" s="7" t="s">
        <v>92</v>
      </c>
      <c r="AT142" s="7" t="s">
        <v>42</v>
      </c>
      <c r="AX142" s="7" t="s">
        <v>91</v>
      </c>
      <c r="BD142" s="133" t="e">
        <f>IF(#REF!="základní",#REF!,0)</f>
        <v>#REF!</v>
      </c>
      <c r="BE142" s="133" t="e">
        <f>IF(#REF!="snížená",#REF!,0)</f>
        <v>#REF!</v>
      </c>
      <c r="BF142" s="133" t="e">
        <f>IF(#REF!="zákl. přenesená",#REF!,0)</f>
        <v>#REF!</v>
      </c>
      <c r="BG142" s="133" t="e">
        <f>IF(#REF!="sníž. přenesená",#REF!,0)</f>
        <v>#REF!</v>
      </c>
      <c r="BH142" s="133" t="e">
        <f>IF(#REF!="nulová",#REF!,0)</f>
        <v>#REF!</v>
      </c>
      <c r="BI142" s="7" t="s">
        <v>4</v>
      </c>
      <c r="BJ142" s="133" t="e">
        <f>ROUND(#REF!*#REF!,2)</f>
        <v>#REF!</v>
      </c>
      <c r="BK142" s="7" t="s">
        <v>141</v>
      </c>
    </row>
    <row r="143" spans="2:63" s="7" customFormat="1" ht="27" customHeight="1" x14ac:dyDescent="0.3">
      <c r="B143" s="53"/>
      <c r="C143" s="25">
        <v>68</v>
      </c>
      <c r="D143" s="25" t="s">
        <v>92</v>
      </c>
      <c r="E143" s="26" t="s">
        <v>333</v>
      </c>
      <c r="F143" s="200" t="s">
        <v>308</v>
      </c>
      <c r="G143" s="193"/>
      <c r="H143" s="193"/>
      <c r="I143" s="193"/>
      <c r="J143" s="127" t="s">
        <v>103</v>
      </c>
      <c r="K143" s="136">
        <v>21.5</v>
      </c>
      <c r="L143" s="194"/>
      <c r="M143" s="195"/>
      <c r="N143" s="196">
        <f t="shared" ref="N143" si="18">+L143*K143</f>
        <v>0</v>
      </c>
      <c r="O143" s="193"/>
      <c r="P143" s="193"/>
      <c r="Q143" s="193"/>
      <c r="R143" s="54"/>
      <c r="S143" s="129"/>
      <c r="T143" s="130" t="s">
        <v>12</v>
      </c>
      <c r="U143" s="131">
        <v>0.09</v>
      </c>
      <c r="V143" s="131" t="e">
        <f>#REF!*#REF!</f>
        <v>#REF!</v>
      </c>
      <c r="W143" s="131">
        <v>0</v>
      </c>
      <c r="X143" s="131" t="e">
        <f>#REF!*#REF!</f>
        <v>#REF!</v>
      </c>
      <c r="Y143" s="131">
        <v>0.03</v>
      </c>
      <c r="Z143" s="132" t="e">
        <f>#REF!*#REF!</f>
        <v>#REF!</v>
      </c>
      <c r="AQ143" s="7" t="s">
        <v>141</v>
      </c>
      <c r="AS143" s="7" t="s">
        <v>92</v>
      </c>
      <c r="AT143" s="7" t="s">
        <v>42</v>
      </c>
      <c r="AX143" s="7" t="s">
        <v>91</v>
      </c>
      <c r="BD143" s="133" t="e">
        <f>IF(#REF!="základní",#REF!,0)</f>
        <v>#REF!</v>
      </c>
      <c r="BE143" s="133" t="e">
        <f>IF(#REF!="snížená",#REF!,0)</f>
        <v>#REF!</v>
      </c>
      <c r="BF143" s="133" t="e">
        <f>IF(#REF!="zákl. přenesená",#REF!,0)</f>
        <v>#REF!</v>
      </c>
      <c r="BG143" s="133" t="e">
        <f>IF(#REF!="sníž. přenesená",#REF!,0)</f>
        <v>#REF!</v>
      </c>
      <c r="BH143" s="133" t="e">
        <f>IF(#REF!="nulová",#REF!,0)</f>
        <v>#REF!</v>
      </c>
      <c r="BI143" s="7" t="s">
        <v>4</v>
      </c>
      <c r="BJ143" s="133" t="e">
        <f>ROUND(#REF!*#REF!,2)</f>
        <v>#REF!</v>
      </c>
      <c r="BK143" s="7" t="s">
        <v>141</v>
      </c>
    </row>
    <row r="144" spans="2:63" s="62" customFormat="1" ht="30.75" customHeight="1" x14ac:dyDescent="0.3">
      <c r="B144" s="63"/>
      <c r="D144" s="64" t="s">
        <v>64</v>
      </c>
      <c r="L144" s="134"/>
      <c r="M144" s="134"/>
      <c r="N144" s="190">
        <f>SUM(N145:Q155)</f>
        <v>0</v>
      </c>
      <c r="O144" s="191"/>
      <c r="P144" s="191"/>
      <c r="Q144" s="191"/>
      <c r="R144" s="65"/>
      <c r="S144" s="122"/>
      <c r="V144" s="123">
        <f>SUM($V$145:$V$155)</f>
        <v>50.774000000000001</v>
      </c>
      <c r="X144" s="123">
        <f>SUM($X$145:$X$155)</f>
        <v>1.0366299999999999</v>
      </c>
      <c r="Z144" s="124">
        <f>SUM($Z$145:$Z$155)</f>
        <v>7.8E-2</v>
      </c>
      <c r="AQ144" s="125" t="s">
        <v>42</v>
      </c>
      <c r="AS144" s="125" t="s">
        <v>32</v>
      </c>
      <c r="AT144" s="125" t="s">
        <v>4</v>
      </c>
      <c r="AX144" s="125" t="s">
        <v>91</v>
      </c>
      <c r="BJ144" s="126">
        <f>SUM($BJ$145:$BJ$155)</f>
        <v>0</v>
      </c>
    </row>
    <row r="145" spans="2:63" s="7" customFormat="1" ht="27" customHeight="1" x14ac:dyDescent="0.3">
      <c r="B145" s="53"/>
      <c r="C145" s="25">
        <v>69</v>
      </c>
      <c r="D145" s="25" t="s">
        <v>92</v>
      </c>
      <c r="E145" s="26" t="s">
        <v>192</v>
      </c>
      <c r="F145" s="192" t="s">
        <v>314</v>
      </c>
      <c r="G145" s="193"/>
      <c r="H145" s="193"/>
      <c r="I145" s="193"/>
      <c r="J145" s="127" t="s">
        <v>103</v>
      </c>
      <c r="K145" s="128">
        <v>103</v>
      </c>
      <c r="L145" s="194"/>
      <c r="M145" s="195"/>
      <c r="N145" s="196">
        <f t="shared" ref="N145:N155" si="19">+L145*K145</f>
        <v>0</v>
      </c>
      <c r="O145" s="193"/>
      <c r="P145" s="193"/>
      <c r="Q145" s="193"/>
      <c r="R145" s="54"/>
      <c r="S145" s="129"/>
      <c r="T145" s="130" t="s">
        <v>12</v>
      </c>
      <c r="U145" s="131">
        <v>0</v>
      </c>
      <c r="V145" s="131">
        <f>$U$145*$K$145</f>
        <v>0</v>
      </c>
      <c r="W145" s="131">
        <v>0</v>
      </c>
      <c r="X145" s="131">
        <f>$W$145*$K$145</f>
        <v>0</v>
      </c>
      <c r="Y145" s="131">
        <v>0</v>
      </c>
      <c r="Z145" s="132">
        <f>$Y$145*$K$145</f>
        <v>0</v>
      </c>
      <c r="AQ145" s="7" t="s">
        <v>141</v>
      </c>
      <c r="AS145" s="7" t="s">
        <v>92</v>
      </c>
      <c r="AT145" s="7" t="s">
        <v>42</v>
      </c>
      <c r="AX145" s="7" t="s">
        <v>91</v>
      </c>
      <c r="BD145" s="133">
        <f>IF($T$145="základní",$N$145,0)</f>
        <v>0</v>
      </c>
      <c r="BE145" s="133">
        <f>IF($T$145="snížená",$N$145,0)</f>
        <v>0</v>
      </c>
      <c r="BF145" s="133">
        <f>IF($T$145="zákl. přenesená",$N$145,0)</f>
        <v>0</v>
      </c>
      <c r="BG145" s="133">
        <f>IF($T$145="sníž. přenesená",$N$145,0)</f>
        <v>0</v>
      </c>
      <c r="BH145" s="133">
        <f>IF($T$145="nulová",$N$145,0)</f>
        <v>0</v>
      </c>
      <c r="BI145" s="7" t="s">
        <v>4</v>
      </c>
      <c r="BJ145" s="133">
        <f>ROUND($L$145*$K$145,2)</f>
        <v>0</v>
      </c>
      <c r="BK145" s="7" t="s">
        <v>141</v>
      </c>
    </row>
    <row r="146" spans="2:63" s="7" customFormat="1" ht="27.75" customHeight="1" x14ac:dyDescent="0.3">
      <c r="B146" s="53"/>
      <c r="C146" s="25">
        <v>70</v>
      </c>
      <c r="D146" s="25" t="s">
        <v>92</v>
      </c>
      <c r="E146" s="26" t="s">
        <v>334</v>
      </c>
      <c r="F146" s="192" t="s">
        <v>312</v>
      </c>
      <c r="G146" s="193"/>
      <c r="H146" s="193"/>
      <c r="I146" s="193"/>
      <c r="J146" s="127" t="s">
        <v>103</v>
      </c>
      <c r="K146" s="128">
        <v>50</v>
      </c>
      <c r="L146" s="194"/>
      <c r="M146" s="195"/>
      <c r="N146" s="196">
        <f t="shared" ref="N146:N147" si="20">+L146*K146</f>
        <v>0</v>
      </c>
      <c r="O146" s="193"/>
      <c r="P146" s="193"/>
      <c r="Q146" s="193"/>
      <c r="R146" s="54"/>
      <c r="S146" s="129"/>
      <c r="T146" s="130" t="s">
        <v>12</v>
      </c>
      <c r="U146" s="131">
        <v>0</v>
      </c>
      <c r="V146" s="131">
        <f>$U$145*$K$145</f>
        <v>0</v>
      </c>
      <c r="W146" s="131">
        <v>0</v>
      </c>
      <c r="X146" s="131">
        <f>$W$145*$K$145</f>
        <v>0</v>
      </c>
      <c r="Y146" s="131">
        <v>0</v>
      </c>
      <c r="Z146" s="132">
        <f>$Y$145*$K$145</f>
        <v>0</v>
      </c>
      <c r="AQ146" s="7" t="s">
        <v>141</v>
      </c>
      <c r="AS146" s="7" t="s">
        <v>92</v>
      </c>
      <c r="AT146" s="7" t="s">
        <v>42</v>
      </c>
      <c r="AX146" s="7" t="s">
        <v>91</v>
      </c>
      <c r="BD146" s="133">
        <f>IF($T$145="základní",$N$145,0)</f>
        <v>0</v>
      </c>
      <c r="BE146" s="133">
        <f>IF($T$145="snížená",$N$145,0)</f>
        <v>0</v>
      </c>
      <c r="BF146" s="133">
        <f>IF($T$145="zákl. přenesená",$N$145,0)</f>
        <v>0</v>
      </c>
      <c r="BG146" s="133">
        <f>IF($T$145="sníž. přenesená",$N$145,0)</f>
        <v>0</v>
      </c>
      <c r="BH146" s="133">
        <f>IF($T$145="nulová",$N$145,0)</f>
        <v>0</v>
      </c>
      <c r="BI146" s="7" t="s">
        <v>4</v>
      </c>
      <c r="BJ146" s="133">
        <f>ROUND($L$145*$K$145,2)</f>
        <v>0</v>
      </c>
      <c r="BK146" s="7" t="s">
        <v>141</v>
      </c>
    </row>
    <row r="147" spans="2:63" s="7" customFormat="1" ht="27" customHeight="1" x14ac:dyDescent="0.3">
      <c r="B147" s="53"/>
      <c r="C147" s="137">
        <v>71</v>
      </c>
      <c r="D147" s="137" t="s">
        <v>153</v>
      </c>
      <c r="E147" s="138" t="s">
        <v>335</v>
      </c>
      <c r="F147" s="201" t="s">
        <v>357</v>
      </c>
      <c r="G147" s="202"/>
      <c r="H147" s="202"/>
      <c r="I147" s="202"/>
      <c r="J147" s="139" t="s">
        <v>106</v>
      </c>
      <c r="K147" s="152">
        <v>10</v>
      </c>
      <c r="L147" s="203"/>
      <c r="M147" s="204"/>
      <c r="N147" s="196">
        <f t="shared" si="20"/>
        <v>0</v>
      </c>
      <c r="O147" s="193"/>
      <c r="P147" s="193"/>
      <c r="Q147" s="193"/>
      <c r="R147" s="54"/>
      <c r="S147" s="129"/>
      <c r="T147" s="130" t="s">
        <v>12</v>
      </c>
      <c r="U147" s="131">
        <v>0</v>
      </c>
      <c r="V147" s="131">
        <f>$U$158*$K$158</f>
        <v>0</v>
      </c>
      <c r="W147" s="131">
        <v>2.5999999999999999E-2</v>
      </c>
      <c r="X147" s="131">
        <f>$W$158*$K$158</f>
        <v>2.5999999999999999E-2</v>
      </c>
      <c r="Y147" s="131">
        <v>0</v>
      </c>
      <c r="Z147" s="132">
        <f>$Y$158*$K$158</f>
        <v>0</v>
      </c>
      <c r="AQ147" s="7" t="s">
        <v>117</v>
      </c>
      <c r="AS147" s="7" t="s">
        <v>153</v>
      </c>
      <c r="AT147" s="7" t="s">
        <v>42</v>
      </c>
      <c r="AX147" s="7" t="s">
        <v>91</v>
      </c>
      <c r="BD147" s="133">
        <f>IF($T$158="základní",$N$158,0)</f>
        <v>0</v>
      </c>
      <c r="BE147" s="133">
        <f>IF($T$158="snížená",$N$158,0)</f>
        <v>0</v>
      </c>
      <c r="BF147" s="133">
        <f>IF($T$158="zákl. přenesená",$N$158,0)</f>
        <v>0</v>
      </c>
      <c r="BG147" s="133">
        <f>IF($T$158="sníž. přenesená",$N$158,0)</f>
        <v>0</v>
      </c>
      <c r="BH147" s="133">
        <f>IF($T$158="nulová",$N$158,0)</f>
        <v>0</v>
      </c>
      <c r="BI147" s="7" t="s">
        <v>4</v>
      </c>
      <c r="BJ147" s="133">
        <f>ROUND($L$158*$K$158,2)</f>
        <v>0</v>
      </c>
      <c r="BK147" s="7" t="s">
        <v>141</v>
      </c>
    </row>
    <row r="148" spans="2:63" s="150" customFormat="1" ht="27" customHeight="1" x14ac:dyDescent="0.3">
      <c r="B148" s="141"/>
      <c r="C148" s="153">
        <v>72</v>
      </c>
      <c r="D148" s="153" t="s">
        <v>153</v>
      </c>
      <c r="E148" s="154" t="s">
        <v>360</v>
      </c>
      <c r="F148" s="217" t="s">
        <v>356</v>
      </c>
      <c r="G148" s="218"/>
      <c r="H148" s="218"/>
      <c r="I148" s="219"/>
      <c r="J148" s="155" t="s">
        <v>106</v>
      </c>
      <c r="K148" s="152">
        <v>10</v>
      </c>
      <c r="L148" s="203"/>
      <c r="M148" s="204"/>
      <c r="N148" s="220">
        <f t="shared" ref="N148" si="21">+L148*K148</f>
        <v>0</v>
      </c>
      <c r="O148" s="198"/>
      <c r="P148" s="198"/>
      <c r="Q148" s="198"/>
      <c r="R148" s="145"/>
      <c r="S148" s="146"/>
      <c r="T148" s="147" t="s">
        <v>12</v>
      </c>
      <c r="U148" s="148">
        <v>0</v>
      </c>
      <c r="V148" s="148">
        <f>$U$158*$K$158</f>
        <v>0</v>
      </c>
      <c r="W148" s="148">
        <v>2.5999999999999999E-2</v>
      </c>
      <c r="X148" s="148">
        <f>$W$158*$K$158</f>
        <v>2.5999999999999999E-2</v>
      </c>
      <c r="Y148" s="148">
        <v>0</v>
      </c>
      <c r="Z148" s="149">
        <f>$Y$158*$K$158</f>
        <v>0</v>
      </c>
      <c r="AQ148" s="150" t="s">
        <v>117</v>
      </c>
      <c r="AS148" s="150" t="s">
        <v>153</v>
      </c>
      <c r="AT148" s="150" t="s">
        <v>42</v>
      </c>
      <c r="AX148" s="150" t="s">
        <v>91</v>
      </c>
      <c r="BD148" s="151">
        <f>IF($T$158="základní",$N$158,0)</f>
        <v>0</v>
      </c>
      <c r="BE148" s="151">
        <f>IF($T$158="snížená",$N$158,0)</f>
        <v>0</v>
      </c>
      <c r="BF148" s="151">
        <f>IF($T$158="zákl. přenesená",$N$158,0)</f>
        <v>0</v>
      </c>
      <c r="BG148" s="151">
        <f>IF($T$158="sníž. přenesená",$N$158,0)</f>
        <v>0</v>
      </c>
      <c r="BH148" s="151">
        <f>IF($T$158="nulová",$N$158,0)</f>
        <v>0</v>
      </c>
      <c r="BI148" s="150" t="s">
        <v>4</v>
      </c>
      <c r="BJ148" s="151">
        <f>ROUND($L$158*$K$158,2)</f>
        <v>0</v>
      </c>
      <c r="BK148" s="150" t="s">
        <v>141</v>
      </c>
    </row>
    <row r="149" spans="2:63" s="7" customFormat="1" ht="27" customHeight="1" x14ac:dyDescent="0.3">
      <c r="B149" s="53"/>
      <c r="C149" s="25">
        <v>73</v>
      </c>
      <c r="D149" s="25" t="s">
        <v>92</v>
      </c>
      <c r="E149" s="26" t="s">
        <v>193</v>
      </c>
      <c r="F149" s="192" t="s">
        <v>365</v>
      </c>
      <c r="G149" s="199"/>
      <c r="H149" s="199"/>
      <c r="I149" s="199"/>
      <c r="J149" s="127" t="s">
        <v>103</v>
      </c>
      <c r="K149" s="128">
        <v>15</v>
      </c>
      <c r="L149" s="194"/>
      <c r="M149" s="195"/>
      <c r="N149" s="196">
        <f t="shared" si="19"/>
        <v>0</v>
      </c>
      <c r="O149" s="193"/>
      <c r="P149" s="193"/>
      <c r="Q149" s="193"/>
      <c r="R149" s="54"/>
      <c r="S149" s="129"/>
      <c r="T149" s="130" t="s">
        <v>12</v>
      </c>
      <c r="U149" s="131">
        <v>0.69899999999999995</v>
      </c>
      <c r="V149" s="131">
        <f>$U$149*$K$149</f>
        <v>10.484999999999999</v>
      </c>
      <c r="W149" s="131">
        <v>1.2019999999999999E-2</v>
      </c>
      <c r="X149" s="131">
        <f>$W$149*$K$149</f>
        <v>0.18029999999999999</v>
      </c>
      <c r="Y149" s="131">
        <v>0</v>
      </c>
      <c r="Z149" s="132">
        <f>$Y$149*$K$149</f>
        <v>0</v>
      </c>
      <c r="AQ149" s="7" t="s">
        <v>141</v>
      </c>
      <c r="AS149" s="7" t="s">
        <v>92</v>
      </c>
      <c r="AT149" s="7" t="s">
        <v>42</v>
      </c>
      <c r="AX149" s="7" t="s">
        <v>91</v>
      </c>
      <c r="BD149" s="133">
        <f>IF($T$149="základní",$N$149,0)</f>
        <v>0</v>
      </c>
      <c r="BE149" s="133">
        <f>IF($T$149="snížená",$N$149,0)</f>
        <v>0</v>
      </c>
      <c r="BF149" s="133">
        <f>IF($T$149="zákl. přenesená",$N$149,0)</f>
        <v>0</v>
      </c>
      <c r="BG149" s="133">
        <f>IF($T$149="sníž. přenesená",$N$149,0)</f>
        <v>0</v>
      </c>
      <c r="BH149" s="133">
        <f>IF($T$149="nulová",$N$149,0)</f>
        <v>0</v>
      </c>
      <c r="BI149" s="7" t="s">
        <v>4</v>
      </c>
      <c r="BJ149" s="133">
        <f>ROUND($L$149*$K$149,2)</f>
        <v>0</v>
      </c>
      <c r="BK149" s="7" t="s">
        <v>141</v>
      </c>
    </row>
    <row r="150" spans="2:63" s="7" customFormat="1" ht="41.25" customHeight="1" x14ac:dyDescent="0.3">
      <c r="B150" s="53"/>
      <c r="C150" s="25">
        <v>74</v>
      </c>
      <c r="D150" s="25" t="s">
        <v>92</v>
      </c>
      <c r="E150" s="26" t="s">
        <v>194</v>
      </c>
      <c r="F150" s="192" t="s">
        <v>366</v>
      </c>
      <c r="G150" s="199"/>
      <c r="H150" s="199"/>
      <c r="I150" s="199"/>
      <c r="J150" s="127" t="s">
        <v>103</v>
      </c>
      <c r="K150" s="128">
        <v>43</v>
      </c>
      <c r="L150" s="194"/>
      <c r="M150" s="195"/>
      <c r="N150" s="196">
        <f t="shared" si="19"/>
        <v>0</v>
      </c>
      <c r="O150" s="193"/>
      <c r="P150" s="193"/>
      <c r="Q150" s="193"/>
      <c r="R150" s="54"/>
      <c r="S150" s="129"/>
      <c r="T150" s="130" t="s">
        <v>12</v>
      </c>
      <c r="U150" s="131">
        <v>0.80900000000000005</v>
      </c>
      <c r="V150" s="131">
        <f>$U$150*$K$150</f>
        <v>34.786999999999999</v>
      </c>
      <c r="W150" s="131">
        <v>1.6920000000000001E-2</v>
      </c>
      <c r="X150" s="131">
        <f>$W$150*$K$150</f>
        <v>0.7275600000000001</v>
      </c>
      <c r="Y150" s="131">
        <v>0</v>
      </c>
      <c r="Z150" s="132">
        <f>$Y$150*$K$150</f>
        <v>0</v>
      </c>
      <c r="AQ150" s="7" t="s">
        <v>141</v>
      </c>
      <c r="AS150" s="7" t="s">
        <v>92</v>
      </c>
      <c r="AT150" s="7" t="s">
        <v>42</v>
      </c>
      <c r="AX150" s="7" t="s">
        <v>91</v>
      </c>
      <c r="BD150" s="133">
        <f>IF($T$150="základní",$N$150,0)</f>
        <v>0</v>
      </c>
      <c r="BE150" s="133">
        <f>IF($T$150="snížená",$N$150,0)</f>
        <v>0</v>
      </c>
      <c r="BF150" s="133">
        <f>IF($T$150="zákl. přenesená",$N$150,0)</f>
        <v>0</v>
      </c>
      <c r="BG150" s="133">
        <f>IF($T$150="sníž. přenesená",$N$150,0)</f>
        <v>0</v>
      </c>
      <c r="BH150" s="133">
        <f>IF($T$150="nulová",$N$150,0)</f>
        <v>0</v>
      </c>
      <c r="BI150" s="7" t="s">
        <v>4</v>
      </c>
      <c r="BJ150" s="133">
        <f>ROUND($L$150*$K$150,2)</f>
        <v>0</v>
      </c>
      <c r="BK150" s="7" t="s">
        <v>141</v>
      </c>
    </row>
    <row r="151" spans="2:63" s="7" customFormat="1" ht="27" customHeight="1" x14ac:dyDescent="0.3">
      <c r="B151" s="53"/>
      <c r="C151" s="25">
        <v>75</v>
      </c>
      <c r="D151" s="25" t="s">
        <v>92</v>
      </c>
      <c r="E151" s="26" t="s">
        <v>337</v>
      </c>
      <c r="F151" s="192" t="s">
        <v>310</v>
      </c>
      <c r="G151" s="199"/>
      <c r="H151" s="199"/>
      <c r="I151" s="199"/>
      <c r="J151" s="127" t="s">
        <v>112</v>
      </c>
      <c r="K151" s="128">
        <v>1.5</v>
      </c>
      <c r="L151" s="194"/>
      <c r="M151" s="195"/>
      <c r="N151" s="196">
        <f t="shared" si="19"/>
        <v>0</v>
      </c>
      <c r="O151" s="193"/>
      <c r="P151" s="193"/>
      <c r="Q151" s="193"/>
      <c r="R151" s="54"/>
      <c r="S151" s="129"/>
      <c r="T151" s="130" t="s">
        <v>12</v>
      </c>
      <c r="U151" s="131">
        <v>1.1240000000000001</v>
      </c>
      <c r="V151" s="131">
        <f>$U$151*$K$151</f>
        <v>1.6860000000000002</v>
      </c>
      <c r="W151" s="131">
        <v>1.7059999999999999E-2</v>
      </c>
      <c r="X151" s="131">
        <f>$W$151*$K$151</f>
        <v>2.5589999999999998E-2</v>
      </c>
      <c r="Y151" s="131">
        <v>0</v>
      </c>
      <c r="Z151" s="132">
        <f>$Y$151*$K$151</f>
        <v>0</v>
      </c>
      <c r="AQ151" s="7" t="s">
        <v>141</v>
      </c>
      <c r="AS151" s="7" t="s">
        <v>92</v>
      </c>
      <c r="AT151" s="7" t="s">
        <v>42</v>
      </c>
      <c r="AX151" s="7" t="s">
        <v>91</v>
      </c>
      <c r="BD151" s="133">
        <f>IF($T$151="základní",$N$151,0)</f>
        <v>0</v>
      </c>
      <c r="BE151" s="133">
        <f>IF($T$151="snížená",$N$151,0)</f>
        <v>0</v>
      </c>
      <c r="BF151" s="133">
        <f>IF($T$151="zákl. přenesená",$N$151,0)</f>
        <v>0</v>
      </c>
      <c r="BG151" s="133">
        <f>IF($T$151="sníž. přenesená",$N$151,0)</f>
        <v>0</v>
      </c>
      <c r="BH151" s="133">
        <f>IF($T$151="nulová",$N$151,0)</f>
        <v>0</v>
      </c>
      <c r="BI151" s="7" t="s">
        <v>4</v>
      </c>
      <c r="BJ151" s="133">
        <f>ROUND($L$151*$K$151,2)</f>
        <v>0</v>
      </c>
      <c r="BK151" s="7" t="s">
        <v>141</v>
      </c>
    </row>
    <row r="152" spans="2:63" s="7" customFormat="1" ht="27" customHeight="1" x14ac:dyDescent="0.3">
      <c r="B152" s="53"/>
      <c r="C152" s="25">
        <v>76</v>
      </c>
      <c r="D152" s="25" t="s">
        <v>92</v>
      </c>
      <c r="E152" s="26" t="s">
        <v>195</v>
      </c>
      <c r="F152" s="192" t="s">
        <v>367</v>
      </c>
      <c r="G152" s="199"/>
      <c r="H152" s="199"/>
      <c r="I152" s="199"/>
      <c r="J152" s="127" t="s">
        <v>112</v>
      </c>
      <c r="K152" s="128">
        <v>1.3</v>
      </c>
      <c r="L152" s="194"/>
      <c r="M152" s="195"/>
      <c r="N152" s="196">
        <f t="shared" si="19"/>
        <v>0</v>
      </c>
      <c r="O152" s="193"/>
      <c r="P152" s="193"/>
      <c r="Q152" s="193"/>
      <c r="R152" s="54"/>
      <c r="S152" s="129"/>
      <c r="T152" s="130" t="s">
        <v>12</v>
      </c>
      <c r="U152" s="131">
        <v>1.1240000000000001</v>
      </c>
      <c r="V152" s="131">
        <f>$U$151*$K$151</f>
        <v>1.6860000000000002</v>
      </c>
      <c r="W152" s="131">
        <v>1.7059999999999999E-2</v>
      </c>
      <c r="X152" s="131">
        <f>$W$151*$K$151</f>
        <v>2.5589999999999998E-2</v>
      </c>
      <c r="Y152" s="131">
        <v>0</v>
      </c>
      <c r="Z152" s="132">
        <f>$Y$151*$K$151</f>
        <v>0</v>
      </c>
      <c r="AQ152" s="7" t="s">
        <v>141</v>
      </c>
      <c r="AS152" s="7" t="s">
        <v>92</v>
      </c>
      <c r="AT152" s="7" t="s">
        <v>42</v>
      </c>
      <c r="AX152" s="7" t="s">
        <v>91</v>
      </c>
      <c r="BD152" s="133">
        <f>IF($T$151="základní",$N$151,0)</f>
        <v>0</v>
      </c>
      <c r="BE152" s="133">
        <f>IF($T$151="snížená",$N$151,0)</f>
        <v>0</v>
      </c>
      <c r="BF152" s="133">
        <f>IF($T$151="zákl. přenesená",$N$151,0)</f>
        <v>0</v>
      </c>
      <c r="BG152" s="133">
        <f>IF($T$151="sníž. přenesená",$N$151,0)</f>
        <v>0</v>
      </c>
      <c r="BH152" s="133">
        <f>IF($T$151="nulová",$N$151,0)</f>
        <v>0</v>
      </c>
      <c r="BI152" s="7" t="s">
        <v>4</v>
      </c>
      <c r="BJ152" s="133">
        <f>ROUND($L$151*$K$151,2)</f>
        <v>0</v>
      </c>
      <c r="BK152" s="7" t="s">
        <v>141</v>
      </c>
    </row>
    <row r="153" spans="2:63" s="7" customFormat="1" ht="41.25" customHeight="1" x14ac:dyDescent="0.3">
      <c r="B153" s="53"/>
      <c r="C153" s="25">
        <v>77</v>
      </c>
      <c r="D153" s="25" t="s">
        <v>92</v>
      </c>
      <c r="E153" s="26" t="s">
        <v>336</v>
      </c>
      <c r="F153" s="192" t="s">
        <v>368</v>
      </c>
      <c r="G153" s="199"/>
      <c r="H153" s="199"/>
      <c r="I153" s="199"/>
      <c r="J153" s="127" t="s">
        <v>112</v>
      </c>
      <c r="K153" s="128">
        <v>5.5</v>
      </c>
      <c r="L153" s="194"/>
      <c r="M153" s="195"/>
      <c r="N153" s="196">
        <f t="shared" ref="N153:N154" si="22">+L153*K153</f>
        <v>0</v>
      </c>
      <c r="O153" s="193"/>
      <c r="P153" s="193"/>
      <c r="Q153" s="193"/>
      <c r="R153" s="54"/>
      <c r="S153" s="129"/>
      <c r="T153" s="130" t="s">
        <v>12</v>
      </c>
      <c r="U153" s="131">
        <v>1.1240000000000001</v>
      </c>
      <c r="V153" s="131">
        <f>$U$151*$K$151</f>
        <v>1.6860000000000002</v>
      </c>
      <c r="W153" s="131">
        <v>1.7059999999999999E-2</v>
      </c>
      <c r="X153" s="131">
        <f>$W$151*$K$151</f>
        <v>2.5589999999999998E-2</v>
      </c>
      <c r="Y153" s="131">
        <v>0</v>
      </c>
      <c r="Z153" s="132">
        <f>$Y$151*$K$151</f>
        <v>0</v>
      </c>
      <c r="AQ153" s="7" t="s">
        <v>141</v>
      </c>
      <c r="AS153" s="7" t="s">
        <v>92</v>
      </c>
      <c r="AT153" s="7" t="s">
        <v>42</v>
      </c>
      <c r="AX153" s="7" t="s">
        <v>91</v>
      </c>
      <c r="BD153" s="133">
        <f>IF($T$151="základní",$N$151,0)</f>
        <v>0</v>
      </c>
      <c r="BE153" s="133">
        <f>IF($T$151="snížená",$N$151,0)</f>
        <v>0</v>
      </c>
      <c r="BF153" s="133">
        <f>IF($T$151="zákl. přenesená",$N$151,0)</f>
        <v>0</v>
      </c>
      <c r="BG153" s="133">
        <f>IF($T$151="sníž. přenesená",$N$151,0)</f>
        <v>0</v>
      </c>
      <c r="BH153" s="133">
        <f>IF($T$151="nulová",$N$151,0)</f>
        <v>0</v>
      </c>
      <c r="BI153" s="7" t="s">
        <v>4</v>
      </c>
      <c r="BJ153" s="133">
        <f>ROUND($L$151*$K$151,2)</f>
        <v>0</v>
      </c>
      <c r="BK153" s="7" t="s">
        <v>141</v>
      </c>
    </row>
    <row r="154" spans="2:63" s="7" customFormat="1" ht="28.5" customHeight="1" x14ac:dyDescent="0.3">
      <c r="B154" s="53"/>
      <c r="C154" s="25">
        <v>78</v>
      </c>
      <c r="D154" s="25" t="s">
        <v>92</v>
      </c>
      <c r="E154" s="26" t="s">
        <v>196</v>
      </c>
      <c r="F154" s="192" t="s">
        <v>311</v>
      </c>
      <c r="G154" s="193"/>
      <c r="H154" s="193"/>
      <c r="I154" s="193"/>
      <c r="J154" s="127" t="s">
        <v>103</v>
      </c>
      <c r="K154" s="128">
        <v>3</v>
      </c>
      <c r="L154" s="194"/>
      <c r="M154" s="195"/>
      <c r="N154" s="196">
        <f t="shared" si="22"/>
        <v>0</v>
      </c>
      <c r="O154" s="193"/>
      <c r="P154" s="193"/>
      <c r="Q154" s="193"/>
      <c r="R154" s="54"/>
      <c r="S154" s="129"/>
      <c r="T154" s="130" t="s">
        <v>12</v>
      </c>
      <c r="U154" s="131">
        <v>0.222</v>
      </c>
      <c r="V154" s="131">
        <f>$U$155*$K$155</f>
        <v>0.222</v>
      </c>
      <c r="W154" s="131">
        <v>0</v>
      </c>
      <c r="X154" s="131">
        <f>$W$155*$K$155</f>
        <v>0</v>
      </c>
      <c r="Y154" s="131">
        <v>3.9E-2</v>
      </c>
      <c r="Z154" s="132">
        <f>$Y$155*$K$155</f>
        <v>3.9E-2</v>
      </c>
      <c r="AQ154" s="7" t="s">
        <v>141</v>
      </c>
      <c r="AS154" s="7" t="s">
        <v>92</v>
      </c>
      <c r="AT154" s="7" t="s">
        <v>42</v>
      </c>
      <c r="AX154" s="7" t="s">
        <v>91</v>
      </c>
      <c r="BD154" s="133">
        <f>IF($T$155="základní",$N$155,0)</f>
        <v>0</v>
      </c>
      <c r="BE154" s="133">
        <f>IF($T$155="snížená",$N$155,0)</f>
        <v>0</v>
      </c>
      <c r="BF154" s="133">
        <f>IF($T$155="zákl. přenesená",$N$155,0)</f>
        <v>0</v>
      </c>
      <c r="BG154" s="133">
        <f>IF($T$155="sníž. přenesená",$N$155,0)</f>
        <v>0</v>
      </c>
      <c r="BH154" s="133">
        <f>IF($T$155="nulová",$N$155,0)</f>
        <v>0</v>
      </c>
      <c r="BI154" s="7" t="s">
        <v>4</v>
      </c>
      <c r="BJ154" s="133">
        <f>ROUND($L$155*$K$155,2)</f>
        <v>0</v>
      </c>
      <c r="BK154" s="7" t="s">
        <v>141</v>
      </c>
    </row>
    <row r="155" spans="2:63" s="7" customFormat="1" ht="32.25" customHeight="1" x14ac:dyDescent="0.3">
      <c r="B155" s="53"/>
      <c r="C155" s="25">
        <v>79</v>
      </c>
      <c r="D155" s="25" t="s">
        <v>92</v>
      </c>
      <c r="E155" s="26" t="s">
        <v>361</v>
      </c>
      <c r="F155" s="192" t="s">
        <v>318</v>
      </c>
      <c r="G155" s="193"/>
      <c r="H155" s="193"/>
      <c r="I155" s="193"/>
      <c r="J155" s="127" t="s">
        <v>103</v>
      </c>
      <c r="K155" s="128">
        <v>1</v>
      </c>
      <c r="L155" s="194"/>
      <c r="M155" s="195"/>
      <c r="N155" s="196">
        <f t="shared" si="19"/>
        <v>0</v>
      </c>
      <c r="O155" s="193"/>
      <c r="P155" s="193"/>
      <c r="Q155" s="193"/>
      <c r="R155" s="54"/>
      <c r="S155" s="129"/>
      <c r="T155" s="130" t="s">
        <v>12</v>
      </c>
      <c r="U155" s="131">
        <v>0.222</v>
      </c>
      <c r="V155" s="131">
        <f>$U$155*$K$155</f>
        <v>0.222</v>
      </c>
      <c r="W155" s="131">
        <v>0</v>
      </c>
      <c r="X155" s="131">
        <f>$W$155*$K$155</f>
        <v>0</v>
      </c>
      <c r="Y155" s="131">
        <v>3.9E-2</v>
      </c>
      <c r="Z155" s="132">
        <f>$Y$155*$K$155</f>
        <v>3.9E-2</v>
      </c>
      <c r="AQ155" s="7" t="s">
        <v>141</v>
      </c>
      <c r="AS155" s="7" t="s">
        <v>92</v>
      </c>
      <c r="AT155" s="7" t="s">
        <v>42</v>
      </c>
      <c r="AX155" s="7" t="s">
        <v>91</v>
      </c>
      <c r="BD155" s="133">
        <f>IF($T$155="základní",$N$155,0)</f>
        <v>0</v>
      </c>
      <c r="BE155" s="133">
        <f>IF($T$155="snížená",$N$155,0)</f>
        <v>0</v>
      </c>
      <c r="BF155" s="133">
        <f>IF($T$155="zákl. přenesená",$N$155,0)</f>
        <v>0</v>
      </c>
      <c r="BG155" s="133">
        <f>IF($T$155="sníž. přenesená",$N$155,0)</f>
        <v>0</v>
      </c>
      <c r="BH155" s="133">
        <f>IF($T$155="nulová",$N$155,0)</f>
        <v>0</v>
      </c>
      <c r="BI155" s="7" t="s">
        <v>4</v>
      </c>
      <c r="BJ155" s="133">
        <f>ROUND($L$155*$K$155,2)</f>
        <v>0</v>
      </c>
      <c r="BK155" s="7" t="s">
        <v>141</v>
      </c>
    </row>
    <row r="156" spans="2:63" s="62" customFormat="1" ht="30.75" customHeight="1" x14ac:dyDescent="0.3">
      <c r="B156" s="63"/>
      <c r="D156" s="64" t="s">
        <v>65</v>
      </c>
      <c r="L156" s="134"/>
      <c r="M156" s="134"/>
      <c r="N156" s="190">
        <f>SUM(N157:Q159)</f>
        <v>0</v>
      </c>
      <c r="O156" s="191"/>
      <c r="P156" s="191"/>
      <c r="Q156" s="191"/>
      <c r="R156" s="65"/>
      <c r="S156" s="122"/>
      <c r="V156" s="123">
        <f>SUM($V$157:$V$159)</f>
        <v>3.597</v>
      </c>
      <c r="X156" s="123">
        <f>SUM($X$157:$X$159)</f>
        <v>2.6459999999999997E-2</v>
      </c>
      <c r="Z156" s="124">
        <f>SUM($Z$157:$Z$159)</f>
        <v>8.4000000000000005E-2</v>
      </c>
      <c r="AQ156" s="125" t="s">
        <v>42</v>
      </c>
      <c r="AS156" s="125" t="s">
        <v>32</v>
      </c>
      <c r="AT156" s="125" t="s">
        <v>4</v>
      </c>
      <c r="AX156" s="125" t="s">
        <v>91</v>
      </c>
      <c r="BJ156" s="126">
        <f>SUM($BJ$157:$BJ$159)</f>
        <v>0</v>
      </c>
    </row>
    <row r="157" spans="2:63" s="7" customFormat="1" ht="27" customHeight="1" x14ac:dyDescent="0.3">
      <c r="B157" s="53"/>
      <c r="C157" s="25">
        <v>80</v>
      </c>
      <c r="D157" s="25" t="s">
        <v>92</v>
      </c>
      <c r="E157" s="26" t="s">
        <v>197</v>
      </c>
      <c r="F157" s="200" t="s">
        <v>198</v>
      </c>
      <c r="G157" s="193"/>
      <c r="H157" s="193"/>
      <c r="I157" s="193"/>
      <c r="J157" s="127" t="s">
        <v>106</v>
      </c>
      <c r="K157" s="128">
        <v>1</v>
      </c>
      <c r="L157" s="194"/>
      <c r="M157" s="195"/>
      <c r="N157" s="196">
        <f t="shared" ref="N157:N159" si="23">+L157*K157</f>
        <v>0</v>
      </c>
      <c r="O157" s="193"/>
      <c r="P157" s="193"/>
      <c r="Q157" s="193"/>
      <c r="R157" s="54"/>
      <c r="S157" s="129"/>
      <c r="T157" s="130" t="s">
        <v>12</v>
      </c>
      <c r="U157" s="131">
        <v>3.327</v>
      </c>
      <c r="V157" s="131">
        <f>$U$157*$K$157</f>
        <v>3.327</v>
      </c>
      <c r="W157" s="131">
        <v>4.6000000000000001E-4</v>
      </c>
      <c r="X157" s="131">
        <f>$W$157*$K$157</f>
        <v>4.6000000000000001E-4</v>
      </c>
      <c r="Y157" s="131">
        <v>0</v>
      </c>
      <c r="Z157" s="132">
        <f>$Y$157*$K$157</f>
        <v>0</v>
      </c>
      <c r="AQ157" s="7" t="s">
        <v>141</v>
      </c>
      <c r="AS157" s="7" t="s">
        <v>92</v>
      </c>
      <c r="AT157" s="7" t="s">
        <v>42</v>
      </c>
      <c r="AX157" s="7" t="s">
        <v>91</v>
      </c>
      <c r="BD157" s="133">
        <f>IF($T$157="základní",$N$157,0)</f>
        <v>0</v>
      </c>
      <c r="BE157" s="133">
        <f>IF($T$157="snížená",$N$157,0)</f>
        <v>0</v>
      </c>
      <c r="BF157" s="133">
        <f>IF($T$157="zákl. přenesená",$N$157,0)</f>
        <v>0</v>
      </c>
      <c r="BG157" s="133">
        <f>IF($T$157="sníž. přenesená",$N$157,0)</f>
        <v>0</v>
      </c>
      <c r="BH157" s="133">
        <f>IF($T$157="nulová",$N$157,0)</f>
        <v>0</v>
      </c>
      <c r="BI157" s="7" t="s">
        <v>4</v>
      </c>
      <c r="BJ157" s="133">
        <f>ROUND($L$157*$K$157,2)</f>
        <v>0</v>
      </c>
      <c r="BK157" s="7" t="s">
        <v>141</v>
      </c>
    </row>
    <row r="158" spans="2:63" s="7" customFormat="1" ht="27" customHeight="1" x14ac:dyDescent="0.3">
      <c r="B158" s="53"/>
      <c r="C158" s="137">
        <v>81</v>
      </c>
      <c r="D158" s="137" t="s">
        <v>153</v>
      </c>
      <c r="E158" s="138" t="s">
        <v>199</v>
      </c>
      <c r="F158" s="201" t="s">
        <v>286</v>
      </c>
      <c r="G158" s="202"/>
      <c r="H158" s="202"/>
      <c r="I158" s="202"/>
      <c r="J158" s="139" t="s">
        <v>106</v>
      </c>
      <c r="K158" s="140">
        <v>1</v>
      </c>
      <c r="L158" s="203"/>
      <c r="M158" s="204"/>
      <c r="N158" s="196">
        <f t="shared" si="23"/>
        <v>0</v>
      </c>
      <c r="O158" s="193"/>
      <c r="P158" s="193"/>
      <c r="Q158" s="193"/>
      <c r="R158" s="54"/>
      <c r="S158" s="129"/>
      <c r="T158" s="130" t="s">
        <v>12</v>
      </c>
      <c r="U158" s="131">
        <v>0</v>
      </c>
      <c r="V158" s="131">
        <f>$U$158*$K$158</f>
        <v>0</v>
      </c>
      <c r="W158" s="131">
        <v>2.5999999999999999E-2</v>
      </c>
      <c r="X158" s="131">
        <f>$W$158*$K$158</f>
        <v>2.5999999999999999E-2</v>
      </c>
      <c r="Y158" s="131">
        <v>0</v>
      </c>
      <c r="Z158" s="132">
        <f>$Y$158*$K$158</f>
        <v>0</v>
      </c>
      <c r="AQ158" s="7" t="s">
        <v>117</v>
      </c>
      <c r="AS158" s="7" t="s">
        <v>153</v>
      </c>
      <c r="AT158" s="7" t="s">
        <v>42</v>
      </c>
      <c r="AX158" s="7" t="s">
        <v>91</v>
      </c>
      <c r="BD158" s="133">
        <f>IF($T$158="základní",$N$158,0)</f>
        <v>0</v>
      </c>
      <c r="BE158" s="133">
        <f>IF($T$158="snížená",$N$158,0)</f>
        <v>0</v>
      </c>
      <c r="BF158" s="133">
        <f>IF($T$158="zákl. přenesená",$N$158,0)</f>
        <v>0</v>
      </c>
      <c r="BG158" s="133">
        <f>IF($T$158="sníž. přenesená",$N$158,0)</f>
        <v>0</v>
      </c>
      <c r="BH158" s="133">
        <f>IF($T$158="nulová",$N$158,0)</f>
        <v>0</v>
      </c>
      <c r="BI158" s="7" t="s">
        <v>4</v>
      </c>
      <c r="BJ158" s="133">
        <f>ROUND($L$158*$K$158,2)</f>
        <v>0</v>
      </c>
      <c r="BK158" s="7" t="s">
        <v>141</v>
      </c>
    </row>
    <row r="159" spans="2:63" s="7" customFormat="1" ht="27" customHeight="1" x14ac:dyDescent="0.3">
      <c r="B159" s="53"/>
      <c r="C159" s="25">
        <v>82</v>
      </c>
      <c r="D159" s="25" t="s">
        <v>92</v>
      </c>
      <c r="E159" s="26" t="s">
        <v>200</v>
      </c>
      <c r="F159" s="200" t="s">
        <v>201</v>
      </c>
      <c r="G159" s="193"/>
      <c r="H159" s="193"/>
      <c r="I159" s="193"/>
      <c r="J159" s="127" t="s">
        <v>106</v>
      </c>
      <c r="K159" s="128">
        <v>3</v>
      </c>
      <c r="L159" s="194"/>
      <c r="M159" s="195"/>
      <c r="N159" s="196">
        <f t="shared" si="23"/>
        <v>0</v>
      </c>
      <c r="O159" s="193"/>
      <c r="P159" s="193"/>
      <c r="Q159" s="193"/>
      <c r="R159" s="54"/>
      <c r="S159" s="129"/>
      <c r="T159" s="130" t="s">
        <v>12</v>
      </c>
      <c r="U159" s="131">
        <v>0.09</v>
      </c>
      <c r="V159" s="131">
        <f>$U$159*$K$159</f>
        <v>0.27</v>
      </c>
      <c r="W159" s="131">
        <v>0</v>
      </c>
      <c r="X159" s="131">
        <f>$W$159*$K$159</f>
        <v>0</v>
      </c>
      <c r="Y159" s="131">
        <v>2.8000000000000001E-2</v>
      </c>
      <c r="Z159" s="132">
        <f>$Y$159*$K$159</f>
        <v>8.4000000000000005E-2</v>
      </c>
      <c r="AQ159" s="7" t="s">
        <v>141</v>
      </c>
      <c r="AS159" s="7" t="s">
        <v>92</v>
      </c>
      <c r="AT159" s="7" t="s">
        <v>42</v>
      </c>
      <c r="AX159" s="7" t="s">
        <v>91</v>
      </c>
      <c r="BD159" s="133">
        <f>IF($T$159="základní",$N$159,0)</f>
        <v>0</v>
      </c>
      <c r="BE159" s="133">
        <f>IF($T$159="snížená",$N$159,0)</f>
        <v>0</v>
      </c>
      <c r="BF159" s="133">
        <f>IF($T$159="zákl. přenesená",$N$159,0)</f>
        <v>0</v>
      </c>
      <c r="BG159" s="133">
        <f>IF($T$159="sníž. přenesená",$N$159,0)</f>
        <v>0</v>
      </c>
      <c r="BH159" s="133">
        <f>IF($T$159="nulová",$N$159,0)</f>
        <v>0</v>
      </c>
      <c r="BI159" s="7" t="s">
        <v>4</v>
      </c>
      <c r="BJ159" s="133">
        <f>ROUND($L$159*$K$159,2)</f>
        <v>0</v>
      </c>
      <c r="BK159" s="7" t="s">
        <v>141</v>
      </c>
    </row>
    <row r="160" spans="2:63" s="62" customFormat="1" ht="30.75" customHeight="1" x14ac:dyDescent="0.3">
      <c r="B160" s="63"/>
      <c r="D160" s="64" t="s">
        <v>66</v>
      </c>
      <c r="L160" s="134"/>
      <c r="M160" s="134"/>
      <c r="N160" s="190">
        <f>SUM(N161:Q169)</f>
        <v>0</v>
      </c>
      <c r="O160" s="191"/>
      <c r="P160" s="191"/>
      <c r="Q160" s="191"/>
      <c r="R160" s="65"/>
      <c r="S160" s="122"/>
      <c r="V160" s="123">
        <f>SUM($V$161:$V$167)</f>
        <v>19.554600000000001</v>
      </c>
      <c r="X160" s="123">
        <f>SUM($X$161:$X$167)</f>
        <v>8.1300000000000001E-3</v>
      </c>
      <c r="Z160" s="124">
        <f>SUM($Z$161:$Z$167)</f>
        <v>0.03</v>
      </c>
      <c r="AQ160" s="125" t="s">
        <v>42</v>
      </c>
      <c r="AS160" s="125" t="s">
        <v>32</v>
      </c>
      <c r="AT160" s="125" t="s">
        <v>4</v>
      </c>
      <c r="AX160" s="125" t="s">
        <v>91</v>
      </c>
      <c r="BJ160" s="126">
        <f>SUM($BJ$161:$BJ$167)</f>
        <v>0</v>
      </c>
    </row>
    <row r="161" spans="2:63" s="7" customFormat="1" ht="15.75" customHeight="1" x14ac:dyDescent="0.3">
      <c r="B161" s="53"/>
      <c r="C161" s="25">
        <v>83</v>
      </c>
      <c r="D161" s="25" t="s">
        <v>92</v>
      </c>
      <c r="E161" s="26" t="s">
        <v>202</v>
      </c>
      <c r="F161" s="200" t="s">
        <v>338</v>
      </c>
      <c r="G161" s="193"/>
      <c r="H161" s="193"/>
      <c r="I161" s="193"/>
      <c r="J161" s="127" t="s">
        <v>103</v>
      </c>
      <c r="K161" s="128">
        <v>5.2</v>
      </c>
      <c r="L161" s="194"/>
      <c r="M161" s="195"/>
      <c r="N161" s="196">
        <f t="shared" ref="N161:N167" si="24">+L161*K161</f>
        <v>0</v>
      </c>
      <c r="O161" s="193"/>
      <c r="P161" s="193"/>
      <c r="Q161" s="193"/>
      <c r="R161" s="54"/>
      <c r="S161" s="129"/>
      <c r="T161" s="130" t="s">
        <v>12</v>
      </c>
      <c r="U161" s="131">
        <v>0</v>
      </c>
      <c r="V161" s="131">
        <f>$U$161*$K$161</f>
        <v>0</v>
      </c>
      <c r="W161" s="131">
        <v>0</v>
      </c>
      <c r="X161" s="131">
        <f>$W$161*$K$161</f>
        <v>0</v>
      </c>
      <c r="Y161" s="131">
        <v>0</v>
      </c>
      <c r="Z161" s="132">
        <f>$Y$161*$K$161</f>
        <v>0</v>
      </c>
      <c r="AQ161" s="7" t="s">
        <v>141</v>
      </c>
      <c r="AS161" s="7" t="s">
        <v>92</v>
      </c>
      <c r="AT161" s="7" t="s">
        <v>42</v>
      </c>
      <c r="AX161" s="7" t="s">
        <v>91</v>
      </c>
      <c r="BD161" s="133">
        <f>IF($T$161="základní",$N$161,0)</f>
        <v>0</v>
      </c>
      <c r="BE161" s="133">
        <f>IF($T$161="snížená",$N$161,0)</f>
        <v>0</v>
      </c>
      <c r="BF161" s="133">
        <f>IF($T$161="zákl. přenesená",$N$161,0)</f>
        <v>0</v>
      </c>
      <c r="BG161" s="133">
        <f>IF($T$161="sníž. přenesená",$N$161,0)</f>
        <v>0</v>
      </c>
      <c r="BH161" s="133">
        <f>IF($T$161="nulová",$N$161,0)</f>
        <v>0</v>
      </c>
      <c r="BI161" s="7" t="s">
        <v>4</v>
      </c>
      <c r="BJ161" s="133">
        <f>ROUND($L$161*$K$161,2)</f>
        <v>0</v>
      </c>
      <c r="BK161" s="7" t="s">
        <v>141</v>
      </c>
    </row>
    <row r="162" spans="2:63" s="7" customFormat="1" ht="15.75" customHeight="1" x14ac:dyDescent="0.3">
      <c r="B162" s="53"/>
      <c r="C162" s="25">
        <v>84</v>
      </c>
      <c r="D162" s="25" t="s">
        <v>92</v>
      </c>
      <c r="E162" s="26" t="s">
        <v>203</v>
      </c>
      <c r="F162" s="200" t="s">
        <v>283</v>
      </c>
      <c r="G162" s="193"/>
      <c r="H162" s="193"/>
      <c r="I162" s="193"/>
      <c r="J162" s="127" t="s">
        <v>103</v>
      </c>
      <c r="K162" s="128">
        <v>5.2</v>
      </c>
      <c r="L162" s="194"/>
      <c r="M162" s="195"/>
      <c r="N162" s="196">
        <f t="shared" si="24"/>
        <v>0</v>
      </c>
      <c r="O162" s="193"/>
      <c r="P162" s="193"/>
      <c r="Q162" s="193"/>
      <c r="R162" s="54"/>
      <c r="S162" s="129"/>
      <c r="T162" s="130" t="s">
        <v>12</v>
      </c>
      <c r="U162" s="131">
        <v>0</v>
      </c>
      <c r="V162" s="131">
        <f>$U$162*$K$162</f>
        <v>0</v>
      </c>
      <c r="W162" s="131">
        <v>0</v>
      </c>
      <c r="X162" s="131">
        <f>$W$162*$K$162</f>
        <v>0</v>
      </c>
      <c r="Y162" s="131">
        <v>0</v>
      </c>
      <c r="Z162" s="132">
        <f>$Y$162*$K$162</f>
        <v>0</v>
      </c>
      <c r="AQ162" s="7" t="s">
        <v>141</v>
      </c>
      <c r="AS162" s="7" t="s">
        <v>92</v>
      </c>
      <c r="AT162" s="7" t="s">
        <v>42</v>
      </c>
      <c r="AX162" s="7" t="s">
        <v>91</v>
      </c>
      <c r="BD162" s="133">
        <f>IF($T$162="základní",$N$162,0)</f>
        <v>0</v>
      </c>
      <c r="BE162" s="133">
        <f>IF($T$162="snížená",$N$162,0)</f>
        <v>0</v>
      </c>
      <c r="BF162" s="133">
        <f>IF($T$162="zákl. přenesená",$N$162,0)</f>
        <v>0</v>
      </c>
      <c r="BG162" s="133">
        <f>IF($T$162="sníž. přenesená",$N$162,0)</f>
        <v>0</v>
      </c>
      <c r="BH162" s="133">
        <f>IF($T$162="nulová",$N$162,0)</f>
        <v>0</v>
      </c>
      <c r="BI162" s="7" t="s">
        <v>4</v>
      </c>
      <c r="BJ162" s="133">
        <f>ROUND($L$162*$K$162,2)</f>
        <v>0</v>
      </c>
      <c r="BK162" s="7" t="s">
        <v>141</v>
      </c>
    </row>
    <row r="163" spans="2:63" s="7" customFormat="1" ht="26.25" customHeight="1" x14ac:dyDescent="0.3">
      <c r="B163" s="53"/>
      <c r="C163" s="25">
        <v>85</v>
      </c>
      <c r="D163" s="25" t="s">
        <v>92</v>
      </c>
      <c r="E163" s="26" t="s">
        <v>204</v>
      </c>
      <c r="F163" s="192" t="s">
        <v>285</v>
      </c>
      <c r="G163" s="193"/>
      <c r="H163" s="193"/>
      <c r="I163" s="193"/>
      <c r="J163" s="127" t="s">
        <v>103</v>
      </c>
      <c r="K163" s="128">
        <v>8.8000000000000007</v>
      </c>
      <c r="L163" s="194"/>
      <c r="M163" s="195"/>
      <c r="N163" s="196">
        <f t="shared" si="24"/>
        <v>0</v>
      </c>
      <c r="O163" s="193"/>
      <c r="P163" s="193"/>
      <c r="Q163" s="193"/>
      <c r="R163" s="54"/>
      <c r="S163" s="129"/>
      <c r="T163" s="130" t="s">
        <v>12</v>
      </c>
      <c r="U163" s="131">
        <v>0.79200000000000004</v>
      </c>
      <c r="V163" s="131">
        <f>$U$163*$K$163</f>
        <v>6.9696000000000007</v>
      </c>
      <c r="W163" s="131">
        <v>1E-4</v>
      </c>
      <c r="X163" s="131">
        <f>$W$163*$K$163</f>
        <v>8.8000000000000014E-4</v>
      </c>
      <c r="Y163" s="131">
        <v>0</v>
      </c>
      <c r="Z163" s="132">
        <f>$Y$163*$K$163</f>
        <v>0</v>
      </c>
      <c r="AQ163" s="7" t="s">
        <v>141</v>
      </c>
      <c r="AS163" s="7" t="s">
        <v>92</v>
      </c>
      <c r="AT163" s="7" t="s">
        <v>42</v>
      </c>
      <c r="AX163" s="7" t="s">
        <v>91</v>
      </c>
      <c r="BD163" s="133">
        <f>IF($T$163="základní",$N$163,0)</f>
        <v>0</v>
      </c>
      <c r="BE163" s="133">
        <f>IF($T$163="snížená",$N$163,0)</f>
        <v>0</v>
      </c>
      <c r="BF163" s="133">
        <f>IF($T$163="zákl. přenesená",$N$163,0)</f>
        <v>0</v>
      </c>
      <c r="BG163" s="133">
        <f>IF($T$163="sníž. přenesená",$N$163,0)</f>
        <v>0</v>
      </c>
      <c r="BH163" s="133">
        <f>IF($T$163="nulová",$N$163,0)</f>
        <v>0</v>
      </c>
      <c r="BI163" s="7" t="s">
        <v>4</v>
      </c>
      <c r="BJ163" s="133">
        <f>ROUND($L$163*$K$163,2)</f>
        <v>0</v>
      </c>
      <c r="BK163" s="7" t="s">
        <v>141</v>
      </c>
    </row>
    <row r="164" spans="2:63" s="7" customFormat="1" ht="25.5" customHeight="1" x14ac:dyDescent="0.3">
      <c r="B164" s="53"/>
      <c r="C164" s="137">
        <v>86</v>
      </c>
      <c r="D164" s="137" t="s">
        <v>153</v>
      </c>
      <c r="E164" s="138" t="s">
        <v>348</v>
      </c>
      <c r="F164" s="201" t="s">
        <v>319</v>
      </c>
      <c r="G164" s="202"/>
      <c r="H164" s="202"/>
      <c r="I164" s="202"/>
      <c r="J164" s="139" t="s">
        <v>205</v>
      </c>
      <c r="K164" s="152">
        <v>805</v>
      </c>
      <c r="L164" s="203"/>
      <c r="M164" s="204"/>
      <c r="N164" s="196">
        <f t="shared" si="24"/>
        <v>0</v>
      </c>
      <c r="O164" s="193"/>
      <c r="P164" s="193"/>
      <c r="Q164" s="193"/>
      <c r="R164" s="54"/>
      <c r="S164" s="129"/>
      <c r="T164" s="130" t="s">
        <v>12</v>
      </c>
      <c r="U164" s="131">
        <v>0</v>
      </c>
      <c r="V164" s="131">
        <f>$U$164*$K$164</f>
        <v>0</v>
      </c>
      <c r="W164" s="131">
        <v>0</v>
      </c>
      <c r="X164" s="131">
        <f>$W$164*$K$164</f>
        <v>0</v>
      </c>
      <c r="Y164" s="131">
        <v>0</v>
      </c>
      <c r="Z164" s="132">
        <f>$Y$164*$K$164</f>
        <v>0</v>
      </c>
      <c r="AQ164" s="7" t="s">
        <v>117</v>
      </c>
      <c r="AS164" s="7" t="s">
        <v>153</v>
      </c>
      <c r="AT164" s="7" t="s">
        <v>42</v>
      </c>
      <c r="AX164" s="7" t="s">
        <v>91</v>
      </c>
      <c r="BD164" s="133">
        <f>IF($T$164="základní",$N$164,0)</f>
        <v>0</v>
      </c>
      <c r="BE164" s="133">
        <f>IF($T$164="snížená",$N$164,0)</f>
        <v>0</v>
      </c>
      <c r="BF164" s="133">
        <f>IF($T$164="zákl. přenesená",$N$164,0)</f>
        <v>0</v>
      </c>
      <c r="BG164" s="133">
        <f>IF($T$164="sníž. přenesená",$N$164,0)</f>
        <v>0</v>
      </c>
      <c r="BH164" s="133">
        <f>IF($T$164="nulová",$N$164,0)</f>
        <v>0</v>
      </c>
      <c r="BI164" s="7" t="s">
        <v>4</v>
      </c>
      <c r="BJ164" s="133">
        <f>ROUND($L$164*$K$164,2)</f>
        <v>0</v>
      </c>
      <c r="BK164" s="7" t="s">
        <v>141</v>
      </c>
    </row>
    <row r="165" spans="2:63" s="7" customFormat="1" ht="42" customHeight="1" x14ac:dyDescent="0.3">
      <c r="B165" s="53"/>
      <c r="C165" s="25">
        <v>87</v>
      </c>
      <c r="D165" s="25" t="s">
        <v>92</v>
      </c>
      <c r="E165" s="26" t="s">
        <v>207</v>
      </c>
      <c r="F165" s="192" t="s">
        <v>284</v>
      </c>
      <c r="G165" s="193"/>
      <c r="H165" s="193"/>
      <c r="I165" s="193"/>
      <c r="J165" s="127" t="s">
        <v>205</v>
      </c>
      <c r="K165" s="136">
        <v>30</v>
      </c>
      <c r="L165" s="194"/>
      <c r="M165" s="195"/>
      <c r="N165" s="196">
        <f>+L165*K165</f>
        <v>0</v>
      </c>
      <c r="O165" s="193"/>
      <c r="P165" s="193"/>
      <c r="Q165" s="193"/>
      <c r="R165" s="54"/>
      <c r="S165" s="129"/>
      <c r="T165" s="130" t="s">
        <v>12</v>
      </c>
      <c r="U165" s="131">
        <v>5.7000000000000002E-2</v>
      </c>
      <c r="V165" s="131">
        <f>$U$165*$K$165</f>
        <v>1.71</v>
      </c>
      <c r="W165" s="131">
        <v>0</v>
      </c>
      <c r="X165" s="131">
        <f>$W$165*$K$165</f>
        <v>0</v>
      </c>
      <c r="Y165" s="131">
        <v>1E-3</v>
      </c>
      <c r="Z165" s="132">
        <f>$Y$165*$K$165</f>
        <v>0.03</v>
      </c>
      <c r="AQ165" s="7" t="s">
        <v>141</v>
      </c>
      <c r="AS165" s="7" t="s">
        <v>92</v>
      </c>
      <c r="AT165" s="7" t="s">
        <v>42</v>
      </c>
      <c r="AX165" s="7" t="s">
        <v>91</v>
      </c>
      <c r="BD165" s="133">
        <f>IF($T$165="základní",$N$165,0)</f>
        <v>0</v>
      </c>
      <c r="BE165" s="133">
        <f>IF($T$165="snížená",$N$165,0)</f>
        <v>0</v>
      </c>
      <c r="BF165" s="133">
        <f>IF($T$165="zákl. přenesená",$N$165,0)</f>
        <v>0</v>
      </c>
      <c r="BG165" s="133">
        <f>IF($T$165="sníž. přenesená",$N$165,0)</f>
        <v>0</v>
      </c>
      <c r="BH165" s="133">
        <f>IF($T$165="nulová",$N$165,0)</f>
        <v>0</v>
      </c>
      <c r="BI165" s="7" t="s">
        <v>4</v>
      </c>
      <c r="BJ165" s="133">
        <f>ROUND($L$165*$K$165,2)</f>
        <v>0</v>
      </c>
      <c r="BK165" s="7" t="s">
        <v>141</v>
      </c>
    </row>
    <row r="166" spans="2:63" s="7" customFormat="1" ht="38.25" customHeight="1" x14ac:dyDescent="0.3">
      <c r="B166" s="53"/>
      <c r="C166" s="25">
        <v>88</v>
      </c>
      <c r="D166" s="25" t="s">
        <v>92</v>
      </c>
      <c r="E166" s="26" t="s">
        <v>206</v>
      </c>
      <c r="F166" s="192" t="s">
        <v>339</v>
      </c>
      <c r="G166" s="193"/>
      <c r="H166" s="193"/>
      <c r="I166" s="193"/>
      <c r="J166" s="127" t="s">
        <v>205</v>
      </c>
      <c r="K166" s="136">
        <f>30+45+20+50</f>
        <v>145</v>
      </c>
      <c r="L166" s="194"/>
      <c r="M166" s="195"/>
      <c r="N166" s="196">
        <f t="shared" si="24"/>
        <v>0</v>
      </c>
      <c r="O166" s="193"/>
      <c r="P166" s="193"/>
      <c r="Q166" s="193"/>
      <c r="R166" s="54"/>
      <c r="S166" s="129"/>
      <c r="T166" s="130" t="s">
        <v>12</v>
      </c>
      <c r="U166" s="131">
        <v>7.4999999999999997E-2</v>
      </c>
      <c r="V166" s="131">
        <f>$U$166*$K$166</f>
        <v>10.875</v>
      </c>
      <c r="W166" s="131">
        <v>5.0000000000000002E-5</v>
      </c>
      <c r="X166" s="131">
        <f>$W$166*$K$166</f>
        <v>7.2500000000000004E-3</v>
      </c>
      <c r="Y166" s="131">
        <v>0</v>
      </c>
      <c r="Z166" s="132">
        <f>$Y$166*$K$166</f>
        <v>0</v>
      </c>
      <c r="AQ166" s="7" t="s">
        <v>141</v>
      </c>
      <c r="AS166" s="7" t="s">
        <v>92</v>
      </c>
      <c r="AT166" s="7" t="s">
        <v>42</v>
      </c>
      <c r="AX166" s="7" t="s">
        <v>91</v>
      </c>
      <c r="BD166" s="133">
        <f>IF($T$166="základní",$N$166,0)</f>
        <v>0</v>
      </c>
      <c r="BE166" s="133">
        <f>IF($T$166="snížená",$N$166,0)</f>
        <v>0</v>
      </c>
      <c r="BF166" s="133">
        <f>IF($T$166="zákl. přenesená",$N$166,0)</f>
        <v>0</v>
      </c>
      <c r="BG166" s="133">
        <f>IF($T$166="sníž. přenesená",$N$166,0)</f>
        <v>0</v>
      </c>
      <c r="BH166" s="133">
        <f>IF($T$166="nulová",$N$166,0)</f>
        <v>0</v>
      </c>
      <c r="BI166" s="7" t="s">
        <v>4</v>
      </c>
      <c r="BJ166" s="133">
        <f>ROUND($L$166*$K$166,2)</f>
        <v>0</v>
      </c>
      <c r="BK166" s="7" t="s">
        <v>141</v>
      </c>
    </row>
    <row r="167" spans="2:63" s="7" customFormat="1" ht="39.75" customHeight="1" x14ac:dyDescent="0.3">
      <c r="B167" s="53"/>
      <c r="C167" s="137">
        <v>89</v>
      </c>
      <c r="D167" s="137" t="s">
        <v>153</v>
      </c>
      <c r="E167" s="138" t="s">
        <v>349</v>
      </c>
      <c r="F167" s="201" t="s">
        <v>320</v>
      </c>
      <c r="G167" s="202"/>
      <c r="H167" s="202"/>
      <c r="I167" s="202"/>
      <c r="J167" s="139" t="s">
        <v>205</v>
      </c>
      <c r="K167" s="152">
        <v>45</v>
      </c>
      <c r="L167" s="203"/>
      <c r="M167" s="204"/>
      <c r="N167" s="196">
        <f t="shared" si="24"/>
        <v>0</v>
      </c>
      <c r="O167" s="193"/>
      <c r="P167" s="193"/>
      <c r="Q167" s="193"/>
      <c r="R167" s="54"/>
      <c r="S167" s="129"/>
      <c r="T167" s="130" t="s">
        <v>12</v>
      </c>
      <c r="U167" s="131">
        <v>0</v>
      </c>
      <c r="V167" s="131">
        <f>$U$167*$K$167</f>
        <v>0</v>
      </c>
      <c r="W167" s="131">
        <v>0</v>
      </c>
      <c r="X167" s="131">
        <f>$W$167*$K$167</f>
        <v>0</v>
      </c>
      <c r="Y167" s="131">
        <v>0</v>
      </c>
      <c r="Z167" s="132">
        <f>$Y$167*$K$167</f>
        <v>0</v>
      </c>
      <c r="AQ167" s="7" t="s">
        <v>117</v>
      </c>
      <c r="AS167" s="7" t="s">
        <v>153</v>
      </c>
      <c r="AT167" s="7" t="s">
        <v>42</v>
      </c>
      <c r="AX167" s="7" t="s">
        <v>91</v>
      </c>
      <c r="BD167" s="133">
        <f>IF($T$167="základní",$N$167,0)</f>
        <v>0</v>
      </c>
      <c r="BE167" s="133">
        <f>IF($T$167="snížená",$N$167,0)</f>
        <v>0</v>
      </c>
      <c r="BF167" s="133">
        <f>IF($T$167="zákl. přenesená",$N$167,0)</f>
        <v>0</v>
      </c>
      <c r="BG167" s="133">
        <f>IF($T$167="sníž. přenesená",$N$167,0)</f>
        <v>0</v>
      </c>
      <c r="BH167" s="133">
        <f>IF($T$167="nulová",$N$167,0)</f>
        <v>0</v>
      </c>
      <c r="BI167" s="7" t="s">
        <v>4</v>
      </c>
      <c r="BJ167" s="133">
        <f>ROUND($L$167*$K$167,2)</f>
        <v>0</v>
      </c>
      <c r="BK167" s="7" t="s">
        <v>141</v>
      </c>
    </row>
    <row r="168" spans="2:63" s="7" customFormat="1" ht="36" customHeight="1" x14ac:dyDescent="0.3">
      <c r="B168" s="53"/>
      <c r="C168" s="137">
        <v>90</v>
      </c>
      <c r="D168" s="137" t="s">
        <v>153</v>
      </c>
      <c r="E168" s="138" t="s">
        <v>340</v>
      </c>
      <c r="F168" s="201" t="s">
        <v>315</v>
      </c>
      <c r="G168" s="202"/>
      <c r="H168" s="202"/>
      <c r="I168" s="202"/>
      <c r="J168" s="139" t="s">
        <v>205</v>
      </c>
      <c r="K168" s="152">
        <v>20</v>
      </c>
      <c r="L168" s="203"/>
      <c r="M168" s="204"/>
      <c r="N168" s="196">
        <f t="shared" ref="N168:N169" si="25">+L168*K168</f>
        <v>0</v>
      </c>
      <c r="O168" s="193"/>
      <c r="P168" s="193"/>
      <c r="Q168" s="193"/>
      <c r="R168" s="54"/>
      <c r="S168" s="129"/>
      <c r="T168" s="130" t="s">
        <v>12</v>
      </c>
      <c r="U168" s="131">
        <v>0</v>
      </c>
      <c r="V168" s="131">
        <f>$U$167*$K$167</f>
        <v>0</v>
      </c>
      <c r="W168" s="131">
        <v>0</v>
      </c>
      <c r="X168" s="131">
        <f>$W$167*$K$167</f>
        <v>0</v>
      </c>
      <c r="Y168" s="131">
        <v>0</v>
      </c>
      <c r="Z168" s="132">
        <f>$Y$167*$K$167</f>
        <v>0</v>
      </c>
      <c r="AQ168" s="7" t="s">
        <v>117</v>
      </c>
      <c r="AS168" s="7" t="s">
        <v>153</v>
      </c>
      <c r="AT168" s="7" t="s">
        <v>42</v>
      </c>
      <c r="AX168" s="7" t="s">
        <v>91</v>
      </c>
      <c r="BD168" s="133">
        <f>IF($T$167="základní",$N$167,0)</f>
        <v>0</v>
      </c>
      <c r="BE168" s="133">
        <f>IF($T$167="snížená",$N$167,0)</f>
        <v>0</v>
      </c>
      <c r="BF168" s="133">
        <f>IF($T$167="zákl. přenesená",$N$167,0)</f>
        <v>0</v>
      </c>
      <c r="BG168" s="133">
        <f>IF($T$167="sníž. přenesená",$N$167,0)</f>
        <v>0</v>
      </c>
      <c r="BH168" s="133">
        <f>IF($T$167="nulová",$N$167,0)</f>
        <v>0</v>
      </c>
      <c r="BI168" s="7" t="s">
        <v>4</v>
      </c>
      <c r="BJ168" s="133">
        <f>ROUND($L$167*$K$167,2)</f>
        <v>0</v>
      </c>
      <c r="BK168" s="7" t="s">
        <v>141</v>
      </c>
    </row>
    <row r="169" spans="2:63" s="7" customFormat="1" ht="41.25" customHeight="1" x14ac:dyDescent="0.3">
      <c r="B169" s="53"/>
      <c r="C169" s="25">
        <v>91</v>
      </c>
      <c r="D169" s="25" t="s">
        <v>92</v>
      </c>
      <c r="E169" s="135" t="s">
        <v>207</v>
      </c>
      <c r="F169" s="197" t="s">
        <v>358</v>
      </c>
      <c r="G169" s="198"/>
      <c r="H169" s="198"/>
      <c r="I169" s="198"/>
      <c r="J169" s="127" t="s">
        <v>205</v>
      </c>
      <c r="K169" s="136">
        <v>50</v>
      </c>
      <c r="L169" s="194"/>
      <c r="M169" s="195"/>
      <c r="N169" s="196">
        <f t="shared" si="25"/>
        <v>0</v>
      </c>
      <c r="O169" s="193"/>
      <c r="P169" s="193"/>
      <c r="Q169" s="193"/>
      <c r="R169" s="54"/>
      <c r="S169" s="129"/>
      <c r="T169" s="130" t="s">
        <v>12</v>
      </c>
      <c r="U169" s="131">
        <v>5.7000000000000002E-2</v>
      </c>
      <c r="V169" s="131">
        <f>$U$165*$K$165</f>
        <v>1.71</v>
      </c>
      <c r="W169" s="131">
        <v>0</v>
      </c>
      <c r="X169" s="131">
        <f>$W$165*$K$165</f>
        <v>0</v>
      </c>
      <c r="Y169" s="131">
        <v>1E-3</v>
      </c>
      <c r="Z169" s="132">
        <f>$Y$165*$K$165</f>
        <v>0.03</v>
      </c>
      <c r="AQ169" s="7" t="s">
        <v>141</v>
      </c>
      <c r="AS169" s="7" t="s">
        <v>92</v>
      </c>
      <c r="AT169" s="7" t="s">
        <v>42</v>
      </c>
      <c r="AX169" s="7" t="s">
        <v>91</v>
      </c>
      <c r="BD169" s="133">
        <f>IF($T$165="základní",$N$165,0)</f>
        <v>0</v>
      </c>
      <c r="BE169" s="133">
        <f>IF($T$165="snížená",$N$165,0)</f>
        <v>0</v>
      </c>
      <c r="BF169" s="133">
        <f>IF($T$165="zákl. přenesená",$N$165,0)</f>
        <v>0</v>
      </c>
      <c r="BG169" s="133">
        <f>IF($T$165="sníž. přenesená",$N$165,0)</f>
        <v>0</v>
      </c>
      <c r="BH169" s="133">
        <f>IF($T$165="nulová",$N$165,0)</f>
        <v>0</v>
      </c>
      <c r="BI169" s="7" t="s">
        <v>4</v>
      </c>
      <c r="BJ169" s="133">
        <f>ROUND($L$165*$K$165,2)</f>
        <v>0</v>
      </c>
      <c r="BK169" s="7" t="s">
        <v>141</v>
      </c>
    </row>
    <row r="170" spans="2:63" s="62" customFormat="1" ht="30.75" customHeight="1" x14ac:dyDescent="0.3">
      <c r="B170" s="63"/>
      <c r="D170" s="64" t="s">
        <v>67</v>
      </c>
      <c r="L170" s="134"/>
      <c r="M170" s="134"/>
      <c r="N170" s="190">
        <f>SUM(N171:Q176)</f>
        <v>0</v>
      </c>
      <c r="O170" s="191"/>
      <c r="P170" s="191"/>
      <c r="Q170" s="191"/>
      <c r="R170" s="65"/>
      <c r="S170" s="122"/>
      <c r="V170" s="123">
        <f>SUM($V$171:$V$174)</f>
        <v>20.447499999999998</v>
      </c>
      <c r="X170" s="123">
        <f>SUM($X$171:$X$174)</f>
        <v>1.993665</v>
      </c>
      <c r="Z170" s="124">
        <f>SUM($Z$171:$Z$174)</f>
        <v>2.2499999999999999E-2</v>
      </c>
      <c r="AQ170" s="125" t="s">
        <v>42</v>
      </c>
      <c r="AS170" s="125" t="s">
        <v>32</v>
      </c>
      <c r="AT170" s="125" t="s">
        <v>4</v>
      </c>
      <c r="AX170" s="125" t="s">
        <v>91</v>
      </c>
      <c r="BJ170" s="126">
        <f>SUM($BJ$171:$BJ$174)</f>
        <v>0</v>
      </c>
    </row>
    <row r="171" spans="2:63" s="7" customFormat="1" ht="27" customHeight="1" x14ac:dyDescent="0.3">
      <c r="B171" s="53"/>
      <c r="C171" s="25">
        <v>92</v>
      </c>
      <c r="D171" s="25" t="s">
        <v>92</v>
      </c>
      <c r="E171" s="26" t="s">
        <v>208</v>
      </c>
      <c r="F171" s="200" t="s">
        <v>279</v>
      </c>
      <c r="G171" s="193"/>
      <c r="H171" s="193"/>
      <c r="I171" s="193"/>
      <c r="J171" s="127" t="s">
        <v>112</v>
      </c>
      <c r="K171" s="128">
        <v>40</v>
      </c>
      <c r="L171" s="194"/>
      <c r="M171" s="195"/>
      <c r="N171" s="196">
        <f t="shared" ref="N171:N174" si="26">+L171*K171</f>
        <v>0</v>
      </c>
      <c r="O171" s="193"/>
      <c r="P171" s="193"/>
      <c r="Q171" s="193"/>
      <c r="R171" s="54"/>
      <c r="S171" s="129"/>
      <c r="T171" s="130" t="s">
        <v>12</v>
      </c>
      <c r="U171" s="131">
        <v>5.8000000000000003E-2</v>
      </c>
      <c r="V171" s="131">
        <f>$U$171*$K$171</f>
        <v>2.3200000000000003</v>
      </c>
      <c r="W171" s="131">
        <v>2.0000000000000002E-5</v>
      </c>
      <c r="X171" s="131">
        <f>$W$171*$K$171</f>
        <v>8.0000000000000004E-4</v>
      </c>
      <c r="Y171" s="131">
        <v>0</v>
      </c>
      <c r="Z171" s="132">
        <f>$Y$171*$K$171</f>
        <v>0</v>
      </c>
      <c r="AQ171" s="7" t="s">
        <v>141</v>
      </c>
      <c r="AS171" s="7" t="s">
        <v>92</v>
      </c>
      <c r="AT171" s="7" t="s">
        <v>42</v>
      </c>
      <c r="AX171" s="7" t="s">
        <v>91</v>
      </c>
      <c r="BD171" s="133">
        <f>IF($T$171="základní",$N$171,0)</f>
        <v>0</v>
      </c>
      <c r="BE171" s="133">
        <f>IF($T$171="snížená",$N$171,0)</f>
        <v>0</v>
      </c>
      <c r="BF171" s="133">
        <f>IF($T$171="zákl. přenesená",$N$171,0)</f>
        <v>0</v>
      </c>
      <c r="BG171" s="133">
        <f>IF($T$171="sníž. přenesená",$N$171,0)</f>
        <v>0</v>
      </c>
      <c r="BH171" s="133">
        <f>IF($T$171="nulová",$N$171,0)</f>
        <v>0</v>
      </c>
      <c r="BI171" s="7" t="s">
        <v>4</v>
      </c>
      <c r="BJ171" s="133">
        <f>ROUND($L$171*$K$171,2)</f>
        <v>0</v>
      </c>
      <c r="BK171" s="7" t="s">
        <v>141</v>
      </c>
    </row>
    <row r="172" spans="2:63" s="7" customFormat="1" ht="24.75" customHeight="1" x14ac:dyDescent="0.3">
      <c r="B172" s="53"/>
      <c r="C172" s="25">
        <v>93</v>
      </c>
      <c r="D172" s="25" t="s">
        <v>92</v>
      </c>
      <c r="E172" s="26" t="s">
        <v>209</v>
      </c>
      <c r="F172" s="200" t="s">
        <v>278</v>
      </c>
      <c r="G172" s="193"/>
      <c r="H172" s="193"/>
      <c r="I172" s="193"/>
      <c r="J172" s="127" t="s">
        <v>103</v>
      </c>
      <c r="K172" s="128">
        <v>7.5</v>
      </c>
      <c r="L172" s="194"/>
      <c r="M172" s="195"/>
      <c r="N172" s="196">
        <f t="shared" si="26"/>
        <v>0</v>
      </c>
      <c r="O172" s="193"/>
      <c r="P172" s="193"/>
      <c r="Q172" s="193"/>
      <c r="R172" s="54"/>
      <c r="S172" s="129"/>
      <c r="T172" s="130" t="s">
        <v>12</v>
      </c>
      <c r="U172" s="131">
        <v>0.255</v>
      </c>
      <c r="V172" s="131">
        <f>$U$172*$K$172</f>
        <v>1.9125000000000001</v>
      </c>
      <c r="W172" s="131">
        <v>0</v>
      </c>
      <c r="X172" s="131">
        <f>$W$172*$K$172</f>
        <v>0</v>
      </c>
      <c r="Y172" s="131">
        <v>3.0000000000000001E-3</v>
      </c>
      <c r="Z172" s="132">
        <f>$Y$172*$K$172</f>
        <v>2.2499999999999999E-2</v>
      </c>
      <c r="AQ172" s="7" t="s">
        <v>141</v>
      </c>
      <c r="AS172" s="7" t="s">
        <v>92</v>
      </c>
      <c r="AT172" s="7" t="s">
        <v>42</v>
      </c>
      <c r="AX172" s="7" t="s">
        <v>91</v>
      </c>
      <c r="BD172" s="133">
        <f>IF($T$172="základní",$N$172,0)</f>
        <v>0</v>
      </c>
      <c r="BE172" s="133">
        <f>IF($T$172="snížená",$N$172,0)</f>
        <v>0</v>
      </c>
      <c r="BF172" s="133">
        <f>IF($T$172="zákl. přenesená",$N$172,0)</f>
        <v>0</v>
      </c>
      <c r="BG172" s="133">
        <f>IF($T$172="sníž. přenesená",$N$172,0)</f>
        <v>0</v>
      </c>
      <c r="BH172" s="133">
        <f>IF($T$172="nulová",$N$172,0)</f>
        <v>0</v>
      </c>
      <c r="BI172" s="7" t="s">
        <v>4</v>
      </c>
      <c r="BJ172" s="133">
        <f>ROUND($L$172*$K$172,2)</f>
        <v>0</v>
      </c>
      <c r="BK172" s="7" t="s">
        <v>141</v>
      </c>
    </row>
    <row r="173" spans="2:63" s="7" customFormat="1" ht="15.75" customHeight="1" x14ac:dyDescent="0.3">
      <c r="B173" s="53"/>
      <c r="C173" s="25">
        <v>94</v>
      </c>
      <c r="D173" s="25" t="s">
        <v>92</v>
      </c>
      <c r="E173" s="26" t="s">
        <v>210</v>
      </c>
      <c r="F173" s="192" t="s">
        <v>341</v>
      </c>
      <c r="G173" s="193"/>
      <c r="H173" s="193"/>
      <c r="I173" s="193"/>
      <c r="J173" s="127" t="s">
        <v>103</v>
      </c>
      <c r="K173" s="128">
        <v>70.5</v>
      </c>
      <c r="L173" s="194"/>
      <c r="M173" s="195"/>
      <c r="N173" s="196">
        <f t="shared" si="26"/>
        <v>0</v>
      </c>
      <c r="O173" s="193"/>
      <c r="P173" s="193"/>
      <c r="Q173" s="193"/>
      <c r="R173" s="54"/>
      <c r="S173" s="129"/>
      <c r="T173" s="130" t="s">
        <v>12</v>
      </c>
      <c r="U173" s="131">
        <v>0.23</v>
      </c>
      <c r="V173" s="131">
        <f>$U$173*$K$173</f>
        <v>16.215</v>
      </c>
      <c r="W173" s="131">
        <v>8.0000000000000007E-5</v>
      </c>
      <c r="X173" s="131">
        <f>$W$173*$K$173</f>
        <v>5.64E-3</v>
      </c>
      <c r="Y173" s="131">
        <v>0</v>
      </c>
      <c r="Z173" s="132">
        <f>$Y$173*$K$173</f>
        <v>0</v>
      </c>
      <c r="AQ173" s="7" t="s">
        <v>141</v>
      </c>
      <c r="AS173" s="7" t="s">
        <v>92</v>
      </c>
      <c r="AT173" s="7" t="s">
        <v>42</v>
      </c>
      <c r="AX173" s="7" t="s">
        <v>91</v>
      </c>
      <c r="BD173" s="133">
        <f>IF($T$173="základní",$N$173,0)</f>
        <v>0</v>
      </c>
      <c r="BE173" s="133">
        <f>IF($T$173="snížená",$N$173,0)</f>
        <v>0</v>
      </c>
      <c r="BF173" s="133">
        <f>IF($T$173="zákl. přenesená",$N$173,0)</f>
        <v>0</v>
      </c>
      <c r="BG173" s="133">
        <f>IF($T$173="sníž. přenesená",$N$173,0)</f>
        <v>0</v>
      </c>
      <c r="BH173" s="133">
        <f>IF($T$173="nulová",$N$173,0)</f>
        <v>0</v>
      </c>
      <c r="BI173" s="7" t="s">
        <v>4</v>
      </c>
      <c r="BJ173" s="133">
        <f>ROUND($L$173*$K$173,2)</f>
        <v>0</v>
      </c>
      <c r="BK173" s="7" t="s">
        <v>141</v>
      </c>
    </row>
    <row r="174" spans="2:63" s="7" customFormat="1" ht="40.5" customHeight="1" x14ac:dyDescent="0.3">
      <c r="B174" s="53"/>
      <c r="C174" s="137">
        <v>95</v>
      </c>
      <c r="D174" s="137" t="s">
        <v>153</v>
      </c>
      <c r="E174" s="138" t="s">
        <v>211</v>
      </c>
      <c r="F174" s="201" t="s">
        <v>316</v>
      </c>
      <c r="G174" s="202"/>
      <c r="H174" s="202"/>
      <c r="I174" s="202"/>
      <c r="J174" s="139" t="s">
        <v>103</v>
      </c>
      <c r="K174" s="140">
        <v>72.5</v>
      </c>
      <c r="L174" s="203"/>
      <c r="M174" s="204"/>
      <c r="N174" s="196">
        <f t="shared" si="26"/>
        <v>0</v>
      </c>
      <c r="O174" s="193"/>
      <c r="P174" s="193"/>
      <c r="Q174" s="193"/>
      <c r="R174" s="54"/>
      <c r="S174" s="129"/>
      <c r="T174" s="130" t="s">
        <v>12</v>
      </c>
      <c r="U174" s="131">
        <v>0</v>
      </c>
      <c r="V174" s="131">
        <f>$U$174*$K$174</f>
        <v>0</v>
      </c>
      <c r="W174" s="131">
        <v>2.741E-2</v>
      </c>
      <c r="X174" s="131">
        <f>$W$174*$K$174</f>
        <v>1.987225</v>
      </c>
      <c r="Y174" s="131">
        <v>0</v>
      </c>
      <c r="Z174" s="132">
        <f>$Y$174*$K$174</f>
        <v>0</v>
      </c>
      <c r="AQ174" s="7" t="s">
        <v>117</v>
      </c>
      <c r="AS174" s="7" t="s">
        <v>153</v>
      </c>
      <c r="AT174" s="7" t="s">
        <v>42</v>
      </c>
      <c r="AX174" s="7" t="s">
        <v>91</v>
      </c>
      <c r="BD174" s="133">
        <f>IF($T$174="základní",$N$174,0)</f>
        <v>0</v>
      </c>
      <c r="BE174" s="133">
        <f>IF($T$174="snížená",$N$174,0)</f>
        <v>0</v>
      </c>
      <c r="BF174" s="133">
        <f>IF($T$174="zákl. přenesená",$N$174,0)</f>
        <v>0</v>
      </c>
      <c r="BG174" s="133">
        <f>IF($T$174="sníž. přenesená",$N$174,0)</f>
        <v>0</v>
      </c>
      <c r="BH174" s="133">
        <f>IF($T$174="nulová",$N$174,0)</f>
        <v>0</v>
      </c>
      <c r="BI174" s="7" t="s">
        <v>4</v>
      </c>
      <c r="BJ174" s="133">
        <f>ROUND($L$174*$K$174,2)</f>
        <v>0</v>
      </c>
      <c r="BK174" s="7" t="s">
        <v>141</v>
      </c>
    </row>
    <row r="175" spans="2:63" s="7" customFormat="1" ht="30" customHeight="1" x14ac:dyDescent="0.3">
      <c r="B175" s="53"/>
      <c r="C175" s="25">
        <v>96</v>
      </c>
      <c r="D175" s="25" t="s">
        <v>92</v>
      </c>
      <c r="E175" s="135" t="s">
        <v>343</v>
      </c>
      <c r="F175" s="192" t="s">
        <v>342</v>
      </c>
      <c r="G175" s="193"/>
      <c r="H175" s="193"/>
      <c r="I175" s="193"/>
      <c r="J175" s="27" t="s">
        <v>112</v>
      </c>
      <c r="K175" s="136">
        <f>40</f>
        <v>40</v>
      </c>
      <c r="L175" s="194"/>
      <c r="M175" s="195"/>
      <c r="N175" s="196">
        <f t="shared" ref="N175" si="27">+L175*K175</f>
        <v>0</v>
      </c>
      <c r="O175" s="193"/>
      <c r="P175" s="193"/>
      <c r="Q175" s="193"/>
      <c r="R175" s="54"/>
      <c r="S175" s="129"/>
      <c r="T175" s="130" t="s">
        <v>12</v>
      </c>
      <c r="U175" s="131">
        <v>0.23</v>
      </c>
      <c r="V175" s="131">
        <f>$U$173*$K$173</f>
        <v>16.215</v>
      </c>
      <c r="W175" s="131">
        <v>8.0000000000000007E-5</v>
      </c>
      <c r="X175" s="131">
        <f>$W$173*$K$173</f>
        <v>5.64E-3</v>
      </c>
      <c r="Y175" s="131">
        <v>0</v>
      </c>
      <c r="Z175" s="132">
        <f>$Y$173*$K$173</f>
        <v>0</v>
      </c>
      <c r="AQ175" s="7" t="s">
        <v>141</v>
      </c>
      <c r="AS175" s="7" t="s">
        <v>92</v>
      </c>
      <c r="AT175" s="7" t="s">
        <v>42</v>
      </c>
      <c r="AX175" s="7" t="s">
        <v>91</v>
      </c>
      <c r="BD175" s="133">
        <f>IF($T$173="základní",$N$173,0)</f>
        <v>0</v>
      </c>
      <c r="BE175" s="133">
        <f>IF($T$173="snížená",$N$173,0)</f>
        <v>0</v>
      </c>
      <c r="BF175" s="133">
        <f>IF($T$173="zákl. přenesená",$N$173,0)</f>
        <v>0</v>
      </c>
      <c r="BG175" s="133">
        <f>IF($T$173="sníž. přenesená",$N$173,0)</f>
        <v>0</v>
      </c>
      <c r="BH175" s="133">
        <f>IF($T$173="nulová",$N$173,0)</f>
        <v>0</v>
      </c>
      <c r="BI175" s="7" t="s">
        <v>4</v>
      </c>
      <c r="BJ175" s="133">
        <f>ROUND($L$173*$K$173,2)</f>
        <v>0</v>
      </c>
      <c r="BK175" s="7" t="s">
        <v>141</v>
      </c>
    </row>
    <row r="176" spans="2:63" s="7" customFormat="1" ht="28.5" customHeight="1" x14ac:dyDescent="0.3">
      <c r="B176" s="53"/>
      <c r="C176" s="137">
        <v>97</v>
      </c>
      <c r="D176" s="137" t="s">
        <v>153</v>
      </c>
      <c r="E176" s="138" t="s">
        <v>211</v>
      </c>
      <c r="F176" s="201" t="s">
        <v>280</v>
      </c>
      <c r="G176" s="202"/>
      <c r="H176" s="202"/>
      <c r="I176" s="202"/>
      <c r="J176" s="139" t="s">
        <v>103</v>
      </c>
      <c r="K176" s="140">
        <v>4</v>
      </c>
      <c r="L176" s="203"/>
      <c r="M176" s="204"/>
      <c r="N176" s="196">
        <f t="shared" ref="N176" si="28">+L176*K176</f>
        <v>0</v>
      </c>
      <c r="O176" s="193"/>
      <c r="P176" s="193"/>
      <c r="Q176" s="193"/>
      <c r="R176" s="54"/>
      <c r="S176" s="129"/>
      <c r="T176" s="130" t="s">
        <v>12</v>
      </c>
      <c r="U176" s="131">
        <v>0</v>
      </c>
      <c r="V176" s="131">
        <f>$U$174*$K$174</f>
        <v>0</v>
      </c>
      <c r="W176" s="131">
        <v>2.741E-2</v>
      </c>
      <c r="X176" s="131">
        <f>$W$174*$K$174</f>
        <v>1.987225</v>
      </c>
      <c r="Y176" s="131">
        <v>0</v>
      </c>
      <c r="Z176" s="132">
        <f>$Y$174*$K$174</f>
        <v>0</v>
      </c>
      <c r="AQ176" s="7" t="s">
        <v>117</v>
      </c>
      <c r="AS176" s="7" t="s">
        <v>153</v>
      </c>
      <c r="AT176" s="7" t="s">
        <v>42</v>
      </c>
      <c r="AX176" s="7" t="s">
        <v>91</v>
      </c>
      <c r="BD176" s="133">
        <f>IF($T$174="základní",$N$174,0)</f>
        <v>0</v>
      </c>
      <c r="BE176" s="133">
        <f>IF($T$174="snížená",$N$174,0)</f>
        <v>0</v>
      </c>
      <c r="BF176" s="133">
        <f>IF($T$174="zákl. přenesená",$N$174,0)</f>
        <v>0</v>
      </c>
      <c r="BG176" s="133">
        <f>IF($T$174="sníž. přenesená",$N$174,0)</f>
        <v>0</v>
      </c>
      <c r="BH176" s="133">
        <f>IF($T$174="nulová",$N$174,0)</f>
        <v>0</v>
      </c>
      <c r="BI176" s="7" t="s">
        <v>4</v>
      </c>
      <c r="BJ176" s="133">
        <f>ROUND($L$174*$K$174,2)</f>
        <v>0</v>
      </c>
      <c r="BK176" s="7" t="s">
        <v>141</v>
      </c>
    </row>
    <row r="177" spans="2:63" s="62" customFormat="1" ht="30.75" customHeight="1" x14ac:dyDescent="0.3">
      <c r="B177" s="63"/>
      <c r="D177" s="64" t="s">
        <v>68</v>
      </c>
      <c r="L177" s="134"/>
      <c r="M177" s="134"/>
      <c r="N177" s="190">
        <f>SUM(N178:Q180)</f>
        <v>0</v>
      </c>
      <c r="O177" s="191"/>
      <c r="P177" s="191"/>
      <c r="Q177" s="191"/>
      <c r="R177" s="65"/>
      <c r="S177" s="122"/>
      <c r="V177" s="123">
        <f>$V$178</f>
        <v>40.5</v>
      </c>
      <c r="X177" s="123">
        <f>$X$178</f>
        <v>2.2999999999999998</v>
      </c>
      <c r="Z177" s="124">
        <f>$Z$178</f>
        <v>0</v>
      </c>
      <c r="AQ177" s="125" t="s">
        <v>42</v>
      </c>
      <c r="AS177" s="125" t="s">
        <v>32</v>
      </c>
      <c r="AT177" s="125" t="s">
        <v>4</v>
      </c>
      <c r="AX177" s="125" t="s">
        <v>91</v>
      </c>
      <c r="BJ177" s="126">
        <f>$BJ$178</f>
        <v>0</v>
      </c>
    </row>
    <row r="178" spans="2:63" s="7" customFormat="1" ht="27" customHeight="1" x14ac:dyDescent="0.3">
      <c r="B178" s="53"/>
      <c r="C178" s="25">
        <v>98</v>
      </c>
      <c r="D178" s="25" t="s">
        <v>92</v>
      </c>
      <c r="E178" s="135" t="s">
        <v>212</v>
      </c>
      <c r="F178" s="200" t="s">
        <v>281</v>
      </c>
      <c r="G178" s="193"/>
      <c r="H178" s="193"/>
      <c r="I178" s="193"/>
      <c r="J178" s="127" t="s">
        <v>103</v>
      </c>
      <c r="K178" s="128">
        <v>50</v>
      </c>
      <c r="L178" s="194"/>
      <c r="M178" s="195"/>
      <c r="N178" s="196">
        <f>+L178*K178</f>
        <v>0</v>
      </c>
      <c r="O178" s="193"/>
      <c r="P178" s="193"/>
      <c r="Q178" s="193"/>
      <c r="R178" s="54"/>
      <c r="S178" s="129"/>
      <c r="T178" s="130" t="s">
        <v>12</v>
      </c>
      <c r="U178" s="131">
        <v>0.81</v>
      </c>
      <c r="V178" s="131">
        <f>$U$178*$K$178</f>
        <v>40.5</v>
      </c>
      <c r="W178" s="131">
        <v>4.5999999999999999E-2</v>
      </c>
      <c r="X178" s="131">
        <f>$W$178*$K$178</f>
        <v>2.2999999999999998</v>
      </c>
      <c r="Y178" s="131">
        <v>0</v>
      </c>
      <c r="Z178" s="132">
        <f>$Y$178*$K$178</f>
        <v>0</v>
      </c>
      <c r="AQ178" s="7" t="s">
        <v>141</v>
      </c>
      <c r="AS178" s="7" t="s">
        <v>92</v>
      </c>
      <c r="AT178" s="7" t="s">
        <v>42</v>
      </c>
      <c r="AX178" s="7" t="s">
        <v>91</v>
      </c>
      <c r="BD178" s="133">
        <f>IF($T$178="základní",$N$178,0)</f>
        <v>0</v>
      </c>
      <c r="BE178" s="133">
        <f>IF($T$178="snížená",$N$178,0)</f>
        <v>0</v>
      </c>
      <c r="BF178" s="133">
        <f>IF($T$178="zákl. přenesená",$N$178,0)</f>
        <v>0</v>
      </c>
      <c r="BG178" s="133">
        <f>IF($T$178="sníž. přenesená",$N$178,0)</f>
        <v>0</v>
      </c>
      <c r="BH178" s="133">
        <f>IF($T$178="nulová",$N$178,0)</f>
        <v>0</v>
      </c>
      <c r="BI178" s="7" t="s">
        <v>4</v>
      </c>
      <c r="BJ178" s="133">
        <f>ROUND($L$178*$K$178,2)</f>
        <v>0</v>
      </c>
      <c r="BK178" s="7" t="s">
        <v>141</v>
      </c>
    </row>
    <row r="179" spans="2:63" s="7" customFormat="1" ht="26.25" customHeight="1" x14ac:dyDescent="0.3">
      <c r="B179" s="53"/>
      <c r="C179" s="25">
        <v>99</v>
      </c>
      <c r="D179" s="25" t="s">
        <v>92</v>
      </c>
      <c r="E179" s="135" t="s">
        <v>344</v>
      </c>
      <c r="F179" s="200" t="s">
        <v>282</v>
      </c>
      <c r="G179" s="193"/>
      <c r="H179" s="193"/>
      <c r="I179" s="193"/>
      <c r="J179" s="127" t="s">
        <v>103</v>
      </c>
      <c r="K179" s="128">
        <v>50</v>
      </c>
      <c r="L179" s="194"/>
      <c r="M179" s="195"/>
      <c r="N179" s="196">
        <f>+L179*K179</f>
        <v>0</v>
      </c>
      <c r="O179" s="193"/>
      <c r="P179" s="193"/>
      <c r="Q179" s="193"/>
      <c r="R179" s="54"/>
      <c r="S179" s="129"/>
      <c r="T179" s="130" t="s">
        <v>12</v>
      </c>
      <c r="U179" s="131">
        <v>0.81</v>
      </c>
      <c r="V179" s="131">
        <f>$U$178*$K$178</f>
        <v>40.5</v>
      </c>
      <c r="W179" s="131">
        <v>4.5999999999999999E-2</v>
      </c>
      <c r="X179" s="131">
        <f>$W$178*$K$178</f>
        <v>2.2999999999999998</v>
      </c>
      <c r="Y179" s="131">
        <v>0</v>
      </c>
      <c r="Z179" s="132">
        <f>$Y$178*$K$178</f>
        <v>0</v>
      </c>
      <c r="AQ179" s="7" t="s">
        <v>141</v>
      </c>
      <c r="AS179" s="7" t="s">
        <v>92</v>
      </c>
      <c r="AT179" s="7" t="s">
        <v>42</v>
      </c>
      <c r="AX179" s="7" t="s">
        <v>91</v>
      </c>
      <c r="BD179" s="133">
        <f>IF($T$178="základní",$N$178,0)</f>
        <v>0</v>
      </c>
      <c r="BE179" s="133">
        <f>IF($T$178="snížená",$N$178,0)</f>
        <v>0</v>
      </c>
      <c r="BF179" s="133">
        <f>IF($T$178="zákl. přenesená",$N$178,0)</f>
        <v>0</v>
      </c>
      <c r="BG179" s="133">
        <f>IF($T$178="sníž. přenesená",$N$178,0)</f>
        <v>0</v>
      </c>
      <c r="BH179" s="133">
        <f>IF($T$178="nulová",$N$178,0)</f>
        <v>0</v>
      </c>
      <c r="BI179" s="7" t="s">
        <v>4</v>
      </c>
      <c r="BJ179" s="133">
        <f>ROUND($L$178*$K$178,2)</f>
        <v>0</v>
      </c>
      <c r="BK179" s="7" t="s">
        <v>141</v>
      </c>
    </row>
    <row r="180" spans="2:63" s="7" customFormat="1" ht="28.5" customHeight="1" x14ac:dyDescent="0.3">
      <c r="B180" s="53"/>
      <c r="C180" s="25">
        <v>100</v>
      </c>
      <c r="D180" s="25" t="s">
        <v>92</v>
      </c>
      <c r="E180" s="135" t="s">
        <v>345</v>
      </c>
      <c r="F180" s="192" t="s">
        <v>371</v>
      </c>
      <c r="G180" s="193"/>
      <c r="H180" s="193"/>
      <c r="I180" s="193"/>
      <c r="J180" s="127" t="s">
        <v>103</v>
      </c>
      <c r="K180" s="128">
        <v>67</v>
      </c>
      <c r="L180" s="194"/>
      <c r="M180" s="195"/>
      <c r="N180" s="196">
        <f>+L180*K180</f>
        <v>0</v>
      </c>
      <c r="O180" s="193"/>
      <c r="P180" s="193"/>
      <c r="Q180" s="193"/>
      <c r="R180" s="54"/>
      <c r="S180" s="129"/>
      <c r="T180" s="130" t="s">
        <v>12</v>
      </c>
      <c r="U180" s="131">
        <v>0.81</v>
      </c>
      <c r="V180" s="131">
        <f>$U$178*$K$178</f>
        <v>40.5</v>
      </c>
      <c r="W180" s="131">
        <v>4.5999999999999999E-2</v>
      </c>
      <c r="X180" s="131">
        <f>$W$178*$K$178</f>
        <v>2.2999999999999998</v>
      </c>
      <c r="Y180" s="131">
        <v>0</v>
      </c>
      <c r="Z180" s="132">
        <f>$Y$178*$K$178</f>
        <v>0</v>
      </c>
      <c r="AQ180" s="7" t="s">
        <v>141</v>
      </c>
      <c r="AS180" s="7" t="s">
        <v>92</v>
      </c>
      <c r="AT180" s="7" t="s">
        <v>42</v>
      </c>
      <c r="AX180" s="7" t="s">
        <v>91</v>
      </c>
      <c r="BD180" s="133">
        <f>IF($T$178="základní",$N$178,0)</f>
        <v>0</v>
      </c>
      <c r="BE180" s="133">
        <f>IF($T$178="snížená",$N$178,0)</f>
        <v>0</v>
      </c>
      <c r="BF180" s="133">
        <f>IF($T$178="zákl. přenesená",$N$178,0)</f>
        <v>0</v>
      </c>
      <c r="BG180" s="133">
        <f>IF($T$178="sníž. přenesená",$N$178,0)</f>
        <v>0</v>
      </c>
      <c r="BH180" s="133">
        <f>IF($T$178="nulová",$N$178,0)</f>
        <v>0</v>
      </c>
      <c r="BI180" s="7" t="s">
        <v>4</v>
      </c>
      <c r="BJ180" s="133">
        <f>ROUND($L$178*$K$178,2)</f>
        <v>0</v>
      </c>
      <c r="BK180" s="7" t="s">
        <v>141</v>
      </c>
    </row>
    <row r="181" spans="2:63" s="62" customFormat="1" ht="30.75" customHeight="1" x14ac:dyDescent="0.3">
      <c r="B181" s="63"/>
      <c r="D181" s="64" t="s">
        <v>69</v>
      </c>
      <c r="L181" s="134"/>
      <c r="M181" s="134"/>
      <c r="N181" s="190">
        <f>+N182</f>
        <v>0</v>
      </c>
      <c r="O181" s="191"/>
      <c r="P181" s="191"/>
      <c r="Q181" s="191"/>
      <c r="R181" s="65"/>
      <c r="S181" s="122"/>
      <c r="V181" s="123">
        <f>$V$182</f>
        <v>5.7949999999999999</v>
      </c>
      <c r="X181" s="123">
        <f>$X$182</f>
        <v>0</v>
      </c>
      <c r="Z181" s="124">
        <f>$Z$182</f>
        <v>1.7689000000000001</v>
      </c>
      <c r="AQ181" s="125" t="s">
        <v>42</v>
      </c>
      <c r="AS181" s="125" t="s">
        <v>32</v>
      </c>
      <c r="AT181" s="125" t="s">
        <v>4</v>
      </c>
      <c r="AX181" s="125" t="s">
        <v>91</v>
      </c>
      <c r="BJ181" s="126">
        <f>$BJ$182</f>
        <v>0</v>
      </c>
    </row>
    <row r="182" spans="2:63" s="7" customFormat="1" ht="27" customHeight="1" x14ac:dyDescent="0.3">
      <c r="B182" s="53"/>
      <c r="C182" s="25">
        <v>101</v>
      </c>
      <c r="D182" s="25" t="s">
        <v>92</v>
      </c>
      <c r="E182" s="135" t="s">
        <v>346</v>
      </c>
      <c r="F182" s="192" t="s">
        <v>313</v>
      </c>
      <c r="G182" s="193"/>
      <c r="H182" s="193"/>
      <c r="I182" s="193"/>
      <c r="J182" s="127" t="s">
        <v>103</v>
      </c>
      <c r="K182" s="128">
        <v>19</v>
      </c>
      <c r="L182" s="194"/>
      <c r="M182" s="195"/>
      <c r="N182" s="196">
        <f>+L182*K182</f>
        <v>0</v>
      </c>
      <c r="O182" s="193"/>
      <c r="P182" s="193"/>
      <c r="Q182" s="193"/>
      <c r="R182" s="54"/>
      <c r="S182" s="129"/>
      <c r="T182" s="130" t="s">
        <v>12</v>
      </c>
      <c r="U182" s="131">
        <v>0.30499999999999999</v>
      </c>
      <c r="V182" s="131">
        <f>$U$182*$K$182</f>
        <v>5.7949999999999999</v>
      </c>
      <c r="W182" s="131">
        <v>0</v>
      </c>
      <c r="X182" s="131">
        <f>$W$182*$K$182</f>
        <v>0</v>
      </c>
      <c r="Y182" s="131">
        <v>9.3100000000000002E-2</v>
      </c>
      <c r="Z182" s="132">
        <f>$Y$182*$K$182</f>
        <v>1.7689000000000001</v>
      </c>
      <c r="AC182" s="156"/>
      <c r="AQ182" s="7" t="s">
        <v>141</v>
      </c>
      <c r="AS182" s="7" t="s">
        <v>92</v>
      </c>
      <c r="AT182" s="7" t="s">
        <v>42</v>
      </c>
      <c r="AX182" s="7" t="s">
        <v>91</v>
      </c>
      <c r="BD182" s="133">
        <f>IF($T$182="základní",$N$182,0)</f>
        <v>0</v>
      </c>
      <c r="BE182" s="133">
        <f>IF($T$182="snížená",$N$182,0)</f>
        <v>0</v>
      </c>
      <c r="BF182" s="133">
        <f>IF($T$182="zákl. přenesená",$N$182,0)</f>
        <v>0</v>
      </c>
      <c r="BG182" s="133">
        <f>IF($T$182="sníž. přenesená",$N$182,0)</f>
        <v>0</v>
      </c>
      <c r="BH182" s="133">
        <f>IF($T$182="nulová",$N$182,0)</f>
        <v>0</v>
      </c>
      <c r="BI182" s="7" t="s">
        <v>4</v>
      </c>
      <c r="BJ182" s="133">
        <f>ROUND($L$182*$K$182,2)</f>
        <v>0</v>
      </c>
      <c r="BK182" s="7" t="s">
        <v>141</v>
      </c>
    </row>
    <row r="183" spans="2:63" s="62" customFormat="1" ht="30.75" customHeight="1" x14ac:dyDescent="0.3">
      <c r="B183" s="63"/>
      <c r="D183" s="64" t="s">
        <v>322</v>
      </c>
      <c r="L183" s="134"/>
      <c r="M183" s="134"/>
      <c r="N183" s="190">
        <f>+N184</f>
        <v>0</v>
      </c>
      <c r="O183" s="191"/>
      <c r="P183" s="191"/>
      <c r="Q183" s="191"/>
      <c r="R183" s="65"/>
      <c r="S183" s="122"/>
      <c r="V183" s="123">
        <f>$V$182</f>
        <v>5.7949999999999999</v>
      </c>
      <c r="X183" s="123">
        <f>$X$182</f>
        <v>0</v>
      </c>
      <c r="Z183" s="124">
        <f>$Z$182</f>
        <v>1.7689000000000001</v>
      </c>
      <c r="AQ183" s="125" t="s">
        <v>42</v>
      </c>
      <c r="AS183" s="125" t="s">
        <v>32</v>
      </c>
      <c r="AT183" s="125" t="s">
        <v>4</v>
      </c>
      <c r="AX183" s="125" t="s">
        <v>91</v>
      </c>
      <c r="BJ183" s="126">
        <f>$BJ$182</f>
        <v>0</v>
      </c>
    </row>
    <row r="184" spans="2:63" s="7" customFormat="1" ht="19.5" customHeight="1" x14ac:dyDescent="0.3">
      <c r="B184" s="53"/>
      <c r="C184" s="25">
        <v>102</v>
      </c>
      <c r="D184" s="25" t="s">
        <v>92</v>
      </c>
      <c r="E184" s="135" t="s">
        <v>323</v>
      </c>
      <c r="F184" s="192" t="s">
        <v>317</v>
      </c>
      <c r="G184" s="193"/>
      <c r="H184" s="193"/>
      <c r="I184" s="193"/>
      <c r="J184" s="127" t="s">
        <v>103</v>
      </c>
      <c r="K184" s="136">
        <v>235</v>
      </c>
      <c r="L184" s="194"/>
      <c r="M184" s="195"/>
      <c r="N184" s="196">
        <f t="shared" ref="N184" si="29">L184*K184</f>
        <v>0</v>
      </c>
      <c r="O184" s="193"/>
      <c r="P184" s="193"/>
      <c r="Q184" s="193"/>
      <c r="R184" s="54"/>
      <c r="S184" s="129"/>
      <c r="T184" s="130" t="s">
        <v>12</v>
      </c>
      <c r="U184" s="131">
        <v>0.06</v>
      </c>
      <c r="V184" s="131" t="e">
        <f>#REF!*#REF!</f>
        <v>#REF!</v>
      </c>
      <c r="W184" s="131">
        <v>1.2E-4</v>
      </c>
      <c r="X184" s="131" t="e">
        <f>#REF!*#REF!</f>
        <v>#REF!</v>
      </c>
      <c r="Y184" s="131">
        <v>0</v>
      </c>
      <c r="Z184" s="132" t="e">
        <f>#REF!*#REF!</f>
        <v>#REF!</v>
      </c>
      <c r="AQ184" s="7" t="s">
        <v>95</v>
      </c>
      <c r="AS184" s="7" t="s">
        <v>92</v>
      </c>
      <c r="AT184" s="7" t="s">
        <v>42</v>
      </c>
      <c r="AX184" s="7" t="s">
        <v>91</v>
      </c>
      <c r="BD184" s="133" t="e">
        <f>IF(#REF!="základní",#REF!,0)</f>
        <v>#REF!</v>
      </c>
      <c r="BE184" s="133" t="e">
        <f>IF(#REF!="snížená",#REF!,0)</f>
        <v>#REF!</v>
      </c>
      <c r="BF184" s="133" t="e">
        <f>IF(#REF!="zákl. přenesená",#REF!,0)</f>
        <v>#REF!</v>
      </c>
      <c r="BG184" s="133" t="e">
        <f>IF(#REF!="sníž. přenesená",#REF!,0)</f>
        <v>#REF!</v>
      </c>
      <c r="BH184" s="133" t="e">
        <f>IF(#REF!="nulová",#REF!,0)</f>
        <v>#REF!</v>
      </c>
      <c r="BI184" s="7" t="s">
        <v>4</v>
      </c>
      <c r="BJ184" s="133" t="e">
        <f>ROUND(#REF!*#REF!,2)</f>
        <v>#REF!</v>
      </c>
      <c r="BK184" s="7" t="s">
        <v>95</v>
      </c>
    </row>
    <row r="185" spans="2:63" s="62" customFormat="1" ht="37.5" customHeight="1" x14ac:dyDescent="0.35">
      <c r="B185" s="63"/>
      <c r="D185" s="121" t="s">
        <v>70</v>
      </c>
      <c r="L185" s="134"/>
      <c r="M185" s="134"/>
      <c r="N185" s="216">
        <f>$BJ$185</f>
        <v>0</v>
      </c>
      <c r="O185" s="191"/>
      <c r="P185" s="191"/>
      <c r="Q185" s="191"/>
      <c r="R185" s="65"/>
      <c r="S185" s="122"/>
      <c r="V185" s="123">
        <f>$V$186+$V$188+$V$190+$V$192</f>
        <v>0</v>
      </c>
      <c r="X185" s="123">
        <f>$X$186+$X$188+$X$190+$X$192</f>
        <v>0</v>
      </c>
      <c r="Z185" s="124">
        <f>$Z$186+$Z$188+$Z$190+$Z$192</f>
        <v>0</v>
      </c>
      <c r="AC185" s="157"/>
      <c r="AQ185" s="125" t="s">
        <v>189</v>
      </c>
      <c r="AS185" s="125" t="s">
        <v>32</v>
      </c>
      <c r="AT185" s="125" t="s">
        <v>33</v>
      </c>
      <c r="AX185" s="125" t="s">
        <v>91</v>
      </c>
      <c r="BJ185" s="126">
        <f>$BJ$186+$BJ$188+$BJ$190+$BJ$192</f>
        <v>0</v>
      </c>
    </row>
    <row r="186" spans="2:63" s="62" customFormat="1" ht="21" customHeight="1" x14ac:dyDescent="0.3">
      <c r="B186" s="63"/>
      <c r="D186" s="64" t="s">
        <v>71</v>
      </c>
      <c r="L186" s="134"/>
      <c r="M186" s="134"/>
      <c r="N186" s="190">
        <f>+N187</f>
        <v>0</v>
      </c>
      <c r="O186" s="191"/>
      <c r="P186" s="191"/>
      <c r="Q186" s="191"/>
      <c r="R186" s="65"/>
      <c r="S186" s="122"/>
      <c r="V186" s="123">
        <f>$V$187</f>
        <v>0</v>
      </c>
      <c r="X186" s="123">
        <f>$X$187</f>
        <v>0</v>
      </c>
      <c r="Z186" s="124">
        <f>$Z$187</f>
        <v>0</v>
      </c>
      <c r="AQ186" s="125" t="s">
        <v>189</v>
      </c>
      <c r="AS186" s="125" t="s">
        <v>32</v>
      </c>
      <c r="AT186" s="125" t="s">
        <v>4</v>
      </c>
      <c r="AX186" s="125" t="s">
        <v>91</v>
      </c>
      <c r="BJ186" s="126">
        <f>$BJ$187</f>
        <v>0</v>
      </c>
    </row>
    <row r="187" spans="2:63" s="7" customFormat="1" ht="15.75" customHeight="1" x14ac:dyDescent="0.3">
      <c r="B187" s="53"/>
      <c r="C187" s="25">
        <v>103</v>
      </c>
      <c r="D187" s="25" t="s">
        <v>92</v>
      </c>
      <c r="E187" s="26" t="s">
        <v>214</v>
      </c>
      <c r="F187" s="200" t="s">
        <v>215</v>
      </c>
      <c r="G187" s="193"/>
      <c r="H187" s="193"/>
      <c r="I187" s="193"/>
      <c r="J187" s="127" t="s">
        <v>216</v>
      </c>
      <c r="K187" s="128">
        <v>1</v>
      </c>
      <c r="L187" s="194"/>
      <c r="M187" s="195"/>
      <c r="N187" s="196">
        <f>+L187*K187</f>
        <v>0</v>
      </c>
      <c r="O187" s="193"/>
      <c r="P187" s="193"/>
      <c r="Q187" s="193"/>
      <c r="R187" s="54"/>
      <c r="S187" s="129"/>
      <c r="T187" s="130" t="s">
        <v>12</v>
      </c>
      <c r="U187" s="131">
        <v>0</v>
      </c>
      <c r="V187" s="131">
        <f>$U$187*$K$187</f>
        <v>0</v>
      </c>
      <c r="W187" s="131">
        <v>0</v>
      </c>
      <c r="X187" s="131">
        <f>$W$187*$K$187</f>
        <v>0</v>
      </c>
      <c r="Y187" s="131">
        <v>0</v>
      </c>
      <c r="Z187" s="132">
        <f>$Y$187*$K$187</f>
        <v>0</v>
      </c>
      <c r="AQ187" s="7" t="s">
        <v>217</v>
      </c>
      <c r="AS187" s="7" t="s">
        <v>92</v>
      </c>
      <c r="AT187" s="7" t="s">
        <v>42</v>
      </c>
      <c r="AX187" s="7" t="s">
        <v>91</v>
      </c>
      <c r="BD187" s="133">
        <f>IF($T$187="základní",$N$187,0)</f>
        <v>0</v>
      </c>
      <c r="BE187" s="133">
        <f>IF($T$187="snížená",$N$187,0)</f>
        <v>0</v>
      </c>
      <c r="BF187" s="133">
        <f>IF($T$187="zákl. přenesená",$N$187,0)</f>
        <v>0</v>
      </c>
      <c r="BG187" s="133">
        <f>IF($T$187="sníž. přenesená",$N$187,0)</f>
        <v>0</v>
      </c>
      <c r="BH187" s="133">
        <f>IF($T$187="nulová",$N$187,0)</f>
        <v>0</v>
      </c>
      <c r="BI187" s="7" t="s">
        <v>4</v>
      </c>
      <c r="BJ187" s="133">
        <f>ROUND($L$187*$K$187,2)</f>
        <v>0</v>
      </c>
      <c r="BK187" s="7" t="s">
        <v>217</v>
      </c>
    </row>
    <row r="188" spans="2:63" s="62" customFormat="1" ht="30.75" customHeight="1" x14ac:dyDescent="0.3">
      <c r="B188" s="63"/>
      <c r="D188" s="64" t="s">
        <v>72</v>
      </c>
      <c r="L188" s="134"/>
      <c r="M188" s="134"/>
      <c r="N188" s="214">
        <f>+N189</f>
        <v>0</v>
      </c>
      <c r="O188" s="215"/>
      <c r="P188" s="215"/>
      <c r="Q188" s="215"/>
      <c r="R188" s="65"/>
      <c r="S188" s="122"/>
      <c r="V188" s="123">
        <f>$V$189</f>
        <v>0</v>
      </c>
      <c r="X188" s="123">
        <f>$X$189</f>
        <v>0</v>
      </c>
      <c r="Z188" s="124">
        <f>$Z$189</f>
        <v>0</v>
      </c>
      <c r="AQ188" s="125" t="s">
        <v>189</v>
      </c>
      <c r="AS188" s="125" t="s">
        <v>32</v>
      </c>
      <c r="AT188" s="125" t="s">
        <v>4</v>
      </c>
      <c r="AX188" s="125" t="s">
        <v>91</v>
      </c>
      <c r="BJ188" s="126">
        <f>$BJ$189</f>
        <v>0</v>
      </c>
    </row>
    <row r="189" spans="2:63" s="7" customFormat="1" ht="15.75" customHeight="1" x14ac:dyDescent="0.3">
      <c r="B189" s="53"/>
      <c r="C189" s="25">
        <v>100</v>
      </c>
      <c r="D189" s="25" t="s">
        <v>92</v>
      </c>
      <c r="E189" s="26" t="s">
        <v>218</v>
      </c>
      <c r="F189" s="200" t="s">
        <v>219</v>
      </c>
      <c r="G189" s="193"/>
      <c r="H189" s="193"/>
      <c r="I189" s="193"/>
      <c r="J189" s="127" t="s">
        <v>216</v>
      </c>
      <c r="K189" s="128">
        <v>1</v>
      </c>
      <c r="L189" s="194"/>
      <c r="M189" s="195"/>
      <c r="N189" s="196">
        <f>+L189*K189</f>
        <v>0</v>
      </c>
      <c r="O189" s="193"/>
      <c r="P189" s="193"/>
      <c r="Q189" s="193"/>
      <c r="R189" s="54"/>
      <c r="S189" s="129"/>
      <c r="T189" s="130" t="s">
        <v>12</v>
      </c>
      <c r="U189" s="131">
        <v>0</v>
      </c>
      <c r="V189" s="131">
        <f>$U$189*$K$189</f>
        <v>0</v>
      </c>
      <c r="W189" s="131">
        <v>0</v>
      </c>
      <c r="X189" s="131">
        <f>$W$189*$K$189</f>
        <v>0</v>
      </c>
      <c r="Y189" s="131">
        <v>0</v>
      </c>
      <c r="Z189" s="132">
        <f>$Y$189*$K$189</f>
        <v>0</v>
      </c>
      <c r="AQ189" s="7" t="s">
        <v>217</v>
      </c>
      <c r="AS189" s="7" t="s">
        <v>92</v>
      </c>
      <c r="AT189" s="7" t="s">
        <v>42</v>
      </c>
      <c r="AX189" s="7" t="s">
        <v>91</v>
      </c>
      <c r="BD189" s="133">
        <f>IF($T$189="základní",$N$189,0)</f>
        <v>0</v>
      </c>
      <c r="BE189" s="133">
        <f>IF($T$189="snížená",$N$189,0)</f>
        <v>0</v>
      </c>
      <c r="BF189" s="133">
        <f>IF($T$189="zákl. přenesená",$N$189,0)</f>
        <v>0</v>
      </c>
      <c r="BG189" s="133">
        <f>IF($T$189="sníž. přenesená",$N$189,0)</f>
        <v>0</v>
      </c>
      <c r="BH189" s="133">
        <f>IF($T$189="nulová",$N$189,0)</f>
        <v>0</v>
      </c>
      <c r="BI189" s="7" t="s">
        <v>4</v>
      </c>
      <c r="BJ189" s="133">
        <f>ROUND($L$189*$K$189,2)</f>
        <v>0</v>
      </c>
      <c r="BK189" s="7" t="s">
        <v>217</v>
      </c>
    </row>
    <row r="190" spans="2:63" s="62" customFormat="1" ht="30.75" customHeight="1" x14ac:dyDescent="0.3">
      <c r="B190" s="63"/>
      <c r="D190" s="64" t="s">
        <v>73</v>
      </c>
      <c r="I190" s="134"/>
      <c r="J190" s="134"/>
      <c r="K190" s="134"/>
      <c r="L190" s="134"/>
      <c r="M190" s="134"/>
      <c r="N190" s="190">
        <f>+N191</f>
        <v>0</v>
      </c>
      <c r="O190" s="191"/>
      <c r="P190" s="191"/>
      <c r="Q190" s="191"/>
      <c r="R190" s="65"/>
      <c r="S190" s="122"/>
      <c r="V190" s="123">
        <f>$V$191</f>
        <v>0</v>
      </c>
      <c r="X190" s="123">
        <f>$X$191</f>
        <v>0</v>
      </c>
      <c r="Z190" s="124">
        <f>$Z$191</f>
        <v>0</v>
      </c>
      <c r="AQ190" s="125" t="s">
        <v>189</v>
      </c>
      <c r="AS190" s="125" t="s">
        <v>32</v>
      </c>
      <c r="AT190" s="125" t="s">
        <v>4</v>
      </c>
      <c r="AX190" s="125" t="s">
        <v>91</v>
      </c>
      <c r="BJ190" s="126">
        <f>$BJ$191</f>
        <v>0</v>
      </c>
    </row>
    <row r="191" spans="2:63" s="7" customFormat="1" ht="15.75" customHeight="1" x14ac:dyDescent="0.3">
      <c r="B191" s="53"/>
      <c r="C191" s="25">
        <v>101</v>
      </c>
      <c r="D191" s="25" t="s">
        <v>92</v>
      </c>
      <c r="E191" s="26" t="s">
        <v>220</v>
      </c>
      <c r="F191" s="200" t="s">
        <v>221</v>
      </c>
      <c r="G191" s="193"/>
      <c r="H191" s="193"/>
      <c r="I191" s="193"/>
      <c r="J191" s="127" t="s">
        <v>216</v>
      </c>
      <c r="K191" s="128">
        <v>1</v>
      </c>
      <c r="L191" s="194"/>
      <c r="M191" s="195"/>
      <c r="N191" s="196">
        <f>+L191*K191</f>
        <v>0</v>
      </c>
      <c r="O191" s="193"/>
      <c r="P191" s="193"/>
      <c r="Q191" s="193"/>
      <c r="R191" s="54"/>
      <c r="S191" s="129"/>
      <c r="T191" s="130" t="s">
        <v>12</v>
      </c>
      <c r="U191" s="131">
        <v>0</v>
      </c>
      <c r="V191" s="131">
        <f>$U$191*$K$191</f>
        <v>0</v>
      </c>
      <c r="W191" s="131">
        <v>0</v>
      </c>
      <c r="X191" s="131">
        <f>$W$191*$K$191</f>
        <v>0</v>
      </c>
      <c r="Y191" s="131">
        <v>0</v>
      </c>
      <c r="Z191" s="132">
        <f>$Y$191*$K$191</f>
        <v>0</v>
      </c>
      <c r="AQ191" s="7" t="s">
        <v>217</v>
      </c>
      <c r="AS191" s="7" t="s">
        <v>92</v>
      </c>
      <c r="AT191" s="7" t="s">
        <v>42</v>
      </c>
      <c r="AX191" s="7" t="s">
        <v>91</v>
      </c>
      <c r="BD191" s="133">
        <f>IF($T$191="základní",$N$191,0)</f>
        <v>0</v>
      </c>
      <c r="BE191" s="133">
        <f>IF($T$191="snížená",$N$191,0)</f>
        <v>0</v>
      </c>
      <c r="BF191" s="133">
        <f>IF($T$191="zákl. přenesená",$N$191,0)</f>
        <v>0</v>
      </c>
      <c r="BG191" s="133">
        <f>IF($T$191="sníž. přenesená",$N$191,0)</f>
        <v>0</v>
      </c>
      <c r="BH191" s="133">
        <f>IF($T$191="nulová",$N$191,0)</f>
        <v>0</v>
      </c>
      <c r="BI191" s="7" t="s">
        <v>4</v>
      </c>
      <c r="BJ191" s="133">
        <f>ROUND($L$191*$K$191,2)</f>
        <v>0</v>
      </c>
      <c r="BK191" s="7" t="s">
        <v>217</v>
      </c>
    </row>
    <row r="192" spans="2:63" s="62" customFormat="1" ht="30.75" customHeight="1" x14ac:dyDescent="0.3">
      <c r="B192" s="63"/>
      <c r="D192" s="64" t="s">
        <v>74</v>
      </c>
      <c r="L192" s="134"/>
      <c r="M192" s="134"/>
      <c r="N192" s="214">
        <f>+N193</f>
        <v>0</v>
      </c>
      <c r="O192" s="215"/>
      <c r="P192" s="215"/>
      <c r="Q192" s="215"/>
      <c r="R192" s="65"/>
      <c r="S192" s="122"/>
      <c r="V192" s="123">
        <f>$V$193</f>
        <v>0</v>
      </c>
      <c r="X192" s="123">
        <f>$X$193</f>
        <v>0</v>
      </c>
      <c r="Z192" s="124">
        <f>$Z$193</f>
        <v>0</v>
      </c>
      <c r="AQ192" s="125" t="s">
        <v>189</v>
      </c>
      <c r="AS192" s="125" t="s">
        <v>32</v>
      </c>
      <c r="AT192" s="125" t="s">
        <v>4</v>
      </c>
      <c r="AX192" s="125" t="s">
        <v>91</v>
      </c>
      <c r="BJ192" s="126">
        <f>$BJ$193</f>
        <v>0</v>
      </c>
    </row>
    <row r="193" spans="2:63" s="7" customFormat="1" ht="15.75" customHeight="1" x14ac:dyDescent="0.3">
      <c r="B193" s="53"/>
      <c r="C193" s="25">
        <v>102</v>
      </c>
      <c r="D193" s="25" t="s">
        <v>92</v>
      </c>
      <c r="E193" s="26" t="s">
        <v>222</v>
      </c>
      <c r="F193" s="200" t="s">
        <v>223</v>
      </c>
      <c r="G193" s="193"/>
      <c r="H193" s="193"/>
      <c r="I193" s="193"/>
      <c r="J193" s="127" t="s">
        <v>216</v>
      </c>
      <c r="K193" s="128">
        <v>1</v>
      </c>
      <c r="L193" s="194"/>
      <c r="M193" s="195"/>
      <c r="N193" s="196">
        <f>+L193*K193</f>
        <v>0</v>
      </c>
      <c r="O193" s="193"/>
      <c r="P193" s="193"/>
      <c r="Q193" s="193"/>
      <c r="R193" s="54"/>
      <c r="S193" s="129"/>
      <c r="T193" s="158" t="s">
        <v>12</v>
      </c>
      <c r="U193" s="159">
        <v>0</v>
      </c>
      <c r="V193" s="159">
        <f>$U$193*$K$193</f>
        <v>0</v>
      </c>
      <c r="W193" s="159">
        <v>0</v>
      </c>
      <c r="X193" s="159">
        <f>$W$193*$K$193</f>
        <v>0</v>
      </c>
      <c r="Y193" s="159">
        <v>0</v>
      </c>
      <c r="Z193" s="160">
        <f>$Y$193*$K$193</f>
        <v>0</v>
      </c>
      <c r="AQ193" s="7" t="s">
        <v>217</v>
      </c>
      <c r="AS193" s="7" t="s">
        <v>92</v>
      </c>
      <c r="AT193" s="7" t="s">
        <v>42</v>
      </c>
      <c r="AX193" s="7" t="s">
        <v>91</v>
      </c>
      <c r="BD193" s="133">
        <f>IF($T$193="základní",$N$193,0)</f>
        <v>0</v>
      </c>
      <c r="BE193" s="133">
        <f>IF($T$193="snížená",$N$193,0)</f>
        <v>0</v>
      </c>
      <c r="BF193" s="133">
        <f>IF($T$193="zákl. přenesená",$N$193,0)</f>
        <v>0</v>
      </c>
      <c r="BG193" s="133">
        <f>IF($T$193="sníž. přenesená",$N$193,0)</f>
        <v>0</v>
      </c>
      <c r="BH193" s="133">
        <f>IF($T$193="nulová",$N$193,0)</f>
        <v>0</v>
      </c>
      <c r="BI193" s="7" t="s">
        <v>4</v>
      </c>
      <c r="BJ193" s="133">
        <f>ROUND($L$193*$K$193,2)</f>
        <v>0</v>
      </c>
      <c r="BK193" s="7" t="s">
        <v>217</v>
      </c>
    </row>
    <row r="194" spans="2:63" s="7" customFormat="1" ht="7.5" customHeight="1" x14ac:dyDescent="0.3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5"/>
    </row>
    <row r="195" spans="2:63" s="1" customFormat="1" ht="14.25" customHeight="1" x14ac:dyDescent="0.3"/>
    <row r="196" spans="2:63" ht="14.25" customHeight="1" x14ac:dyDescent="0.3">
      <c r="C196" s="161" t="s">
        <v>363</v>
      </c>
    </row>
  </sheetData>
  <sheetProtection password="CC06" sheet="1" objects="1" scenarios="1"/>
  <mergeCells count="390">
    <mergeCell ref="F168:I168"/>
    <mergeCell ref="L168:M168"/>
    <mergeCell ref="N168:Q168"/>
    <mergeCell ref="C3:Q3"/>
    <mergeCell ref="F5:P5"/>
    <mergeCell ref="M7:P7"/>
    <mergeCell ref="M9:Q9"/>
    <mergeCell ref="M10:Q10"/>
    <mergeCell ref="C12:G12"/>
    <mergeCell ref="N12:Q12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N26:Q26"/>
    <mergeCell ref="N35:Q35"/>
    <mergeCell ref="N36:Q36"/>
    <mergeCell ref="N37:Q37"/>
    <mergeCell ref="N38:Q38"/>
    <mergeCell ref="N39:Q39"/>
    <mergeCell ref="N40:Q40"/>
    <mergeCell ref="N42:Q42"/>
    <mergeCell ref="N27:Q27"/>
    <mergeCell ref="N28:Q28"/>
    <mergeCell ref="N29:Q29"/>
    <mergeCell ref="N30:Q30"/>
    <mergeCell ref="N31:Q31"/>
    <mergeCell ref="N32:Q32"/>
    <mergeCell ref="N33:Q33"/>
    <mergeCell ref="N34:Q34"/>
    <mergeCell ref="L44:Q44"/>
    <mergeCell ref="C50:Q50"/>
    <mergeCell ref="F52:P52"/>
    <mergeCell ref="M54:P54"/>
    <mergeCell ref="M56:Q56"/>
    <mergeCell ref="M57:Q57"/>
    <mergeCell ref="F59:I59"/>
    <mergeCell ref="L59:M59"/>
    <mergeCell ref="N59:Q59"/>
    <mergeCell ref="F63:I63"/>
    <mergeCell ref="L63:M63"/>
    <mergeCell ref="N63:Q63"/>
    <mergeCell ref="F65:I65"/>
    <mergeCell ref="L65:M65"/>
    <mergeCell ref="N65:Q65"/>
    <mergeCell ref="F66:I66"/>
    <mergeCell ref="L66:M66"/>
    <mergeCell ref="N66:Q66"/>
    <mergeCell ref="F68:I68"/>
    <mergeCell ref="L68:M68"/>
    <mergeCell ref="N68:Q68"/>
    <mergeCell ref="F69:I69"/>
    <mergeCell ref="L69:M69"/>
    <mergeCell ref="N69:Q69"/>
    <mergeCell ref="F70:I70"/>
    <mergeCell ref="L70:M70"/>
    <mergeCell ref="N70:Q70"/>
    <mergeCell ref="N74:Q74"/>
    <mergeCell ref="F76:I76"/>
    <mergeCell ref="L76:M76"/>
    <mergeCell ref="N76:Q76"/>
    <mergeCell ref="F77:I77"/>
    <mergeCell ref="L77:M77"/>
    <mergeCell ref="N77:Q77"/>
    <mergeCell ref="F71:I71"/>
    <mergeCell ref="L71:M71"/>
    <mergeCell ref="N71:Q71"/>
    <mergeCell ref="F72:I72"/>
    <mergeCell ref="L72:M72"/>
    <mergeCell ref="N72:Q72"/>
    <mergeCell ref="F73:I73"/>
    <mergeCell ref="L73:M73"/>
    <mergeCell ref="N73:Q73"/>
    <mergeCell ref="F79:I79"/>
    <mergeCell ref="L79:M79"/>
    <mergeCell ref="N79:Q79"/>
    <mergeCell ref="F80:I80"/>
    <mergeCell ref="L80:M80"/>
    <mergeCell ref="N80:Q80"/>
    <mergeCell ref="F75:I75"/>
    <mergeCell ref="L75:M75"/>
    <mergeCell ref="N75:Q75"/>
    <mergeCell ref="F78:I78"/>
    <mergeCell ref="L78:M78"/>
    <mergeCell ref="N78:Q78"/>
    <mergeCell ref="F81:I81"/>
    <mergeCell ref="L81:M81"/>
    <mergeCell ref="N81:Q81"/>
    <mergeCell ref="F82:I82"/>
    <mergeCell ref="L82:M82"/>
    <mergeCell ref="N82:Q82"/>
    <mergeCell ref="F83:I83"/>
    <mergeCell ref="L83:M83"/>
    <mergeCell ref="N83:Q83"/>
    <mergeCell ref="F84:I84"/>
    <mergeCell ref="L84:M84"/>
    <mergeCell ref="N84:Q84"/>
    <mergeCell ref="F85:I85"/>
    <mergeCell ref="L85:M85"/>
    <mergeCell ref="N85:Q85"/>
    <mergeCell ref="L86:M86"/>
    <mergeCell ref="F86:I86"/>
    <mergeCell ref="F87:I87"/>
    <mergeCell ref="L87:M87"/>
    <mergeCell ref="N87:Q87"/>
    <mergeCell ref="F89:I89"/>
    <mergeCell ref="L89:M89"/>
    <mergeCell ref="N89:Q89"/>
    <mergeCell ref="N88:Q88"/>
    <mergeCell ref="N86:Q86"/>
    <mergeCell ref="F90:I90"/>
    <mergeCell ref="L90:M90"/>
    <mergeCell ref="N90:Q90"/>
    <mergeCell ref="F92:I92"/>
    <mergeCell ref="L92:M92"/>
    <mergeCell ref="N92:Q92"/>
    <mergeCell ref="F93:I93"/>
    <mergeCell ref="L93:M93"/>
    <mergeCell ref="N93:Q93"/>
    <mergeCell ref="F94:I94"/>
    <mergeCell ref="L94:M94"/>
    <mergeCell ref="N94:Q94"/>
    <mergeCell ref="F100:I100"/>
    <mergeCell ref="L100:M100"/>
    <mergeCell ref="N100:Q100"/>
    <mergeCell ref="F97:I97"/>
    <mergeCell ref="L97:M97"/>
    <mergeCell ref="N97:Q97"/>
    <mergeCell ref="F99:I99"/>
    <mergeCell ref="L99:M99"/>
    <mergeCell ref="N99:Q99"/>
    <mergeCell ref="F101:I101"/>
    <mergeCell ref="L101:M101"/>
    <mergeCell ref="N101:Q101"/>
    <mergeCell ref="F102:I102"/>
    <mergeCell ref="L102:M102"/>
    <mergeCell ref="N102:Q102"/>
    <mergeCell ref="F103:I103"/>
    <mergeCell ref="L103:M103"/>
    <mergeCell ref="N103:Q103"/>
    <mergeCell ref="F104:I104"/>
    <mergeCell ref="L104:M104"/>
    <mergeCell ref="N104:Q104"/>
    <mergeCell ref="F105:I105"/>
    <mergeCell ref="L105:M105"/>
    <mergeCell ref="N105:Q105"/>
    <mergeCell ref="F106:I106"/>
    <mergeCell ref="L106:M106"/>
    <mergeCell ref="N106:Q106"/>
    <mergeCell ref="F108:I108"/>
    <mergeCell ref="L108:M108"/>
    <mergeCell ref="N108:Q108"/>
    <mergeCell ref="F109:I109"/>
    <mergeCell ref="L109:M109"/>
    <mergeCell ref="N109:Q109"/>
    <mergeCell ref="F110:I110"/>
    <mergeCell ref="L110:M110"/>
    <mergeCell ref="N110:Q110"/>
    <mergeCell ref="F117:I117"/>
    <mergeCell ref="L117:M117"/>
    <mergeCell ref="N117:Q117"/>
    <mergeCell ref="F118:I118"/>
    <mergeCell ref="L118:M118"/>
    <mergeCell ref="N118:Q118"/>
    <mergeCell ref="F111:I111"/>
    <mergeCell ref="L111:M111"/>
    <mergeCell ref="N111:Q111"/>
    <mergeCell ref="F113:I113"/>
    <mergeCell ref="L113:M113"/>
    <mergeCell ref="N113:Q113"/>
    <mergeCell ref="F115:I115"/>
    <mergeCell ref="L115:M115"/>
    <mergeCell ref="N115:Q115"/>
    <mergeCell ref="N114:Q114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33:I133"/>
    <mergeCell ref="L133:M133"/>
    <mergeCell ref="N133:Q133"/>
    <mergeCell ref="L131:M131"/>
    <mergeCell ref="F134:I134"/>
    <mergeCell ref="L134:M134"/>
    <mergeCell ref="N134:Q134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F141:I141"/>
    <mergeCell ref="L141:M141"/>
    <mergeCell ref="N141:Q141"/>
    <mergeCell ref="F136:I136"/>
    <mergeCell ref="L136:M136"/>
    <mergeCell ref="N136:Q136"/>
    <mergeCell ref="N140:Q140"/>
    <mergeCell ref="F128:I128"/>
    <mergeCell ref="L128:M128"/>
    <mergeCell ref="N128:Q128"/>
    <mergeCell ref="F137:I137"/>
    <mergeCell ref="L137:M137"/>
    <mergeCell ref="N137:Q137"/>
    <mergeCell ref="F129:I129"/>
    <mergeCell ref="L129:M129"/>
    <mergeCell ref="N129:Q129"/>
    <mergeCell ref="F130:I130"/>
    <mergeCell ref="L130:M130"/>
    <mergeCell ref="N130:Q130"/>
    <mergeCell ref="F131:I131"/>
    <mergeCell ref="F132:I132"/>
    <mergeCell ref="L132:M132"/>
    <mergeCell ref="N132:Q132"/>
    <mergeCell ref="N131:Q131"/>
    <mergeCell ref="F155:I155"/>
    <mergeCell ref="L155:M155"/>
    <mergeCell ref="N155:Q155"/>
    <mergeCell ref="F146:I146"/>
    <mergeCell ref="F149:I149"/>
    <mergeCell ref="L149:M149"/>
    <mergeCell ref="N149:Q149"/>
    <mergeCell ref="F150:I150"/>
    <mergeCell ref="L150:M150"/>
    <mergeCell ref="N150:Q150"/>
    <mergeCell ref="N146:Q146"/>
    <mergeCell ref="F151:I151"/>
    <mergeCell ref="L151:M151"/>
    <mergeCell ref="N151:Q151"/>
    <mergeCell ref="F154:I154"/>
    <mergeCell ref="L154:M154"/>
    <mergeCell ref="N154:Q154"/>
    <mergeCell ref="L152:M152"/>
    <mergeCell ref="N152:Q152"/>
    <mergeCell ref="F148:I148"/>
    <mergeCell ref="L148:M148"/>
    <mergeCell ref="N148:Q148"/>
    <mergeCell ref="L146:M146"/>
    <mergeCell ref="F147:I147"/>
    <mergeCell ref="F157:I157"/>
    <mergeCell ref="L157:M157"/>
    <mergeCell ref="N157:Q157"/>
    <mergeCell ref="F158:I158"/>
    <mergeCell ref="L158:M158"/>
    <mergeCell ref="N158:Q158"/>
    <mergeCell ref="N156:Q156"/>
    <mergeCell ref="F159:I159"/>
    <mergeCell ref="L159:M159"/>
    <mergeCell ref="N159:Q159"/>
    <mergeCell ref="F161:I161"/>
    <mergeCell ref="L161:M161"/>
    <mergeCell ref="N161:Q161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5:I165"/>
    <mergeCell ref="L165:M165"/>
    <mergeCell ref="F173:I173"/>
    <mergeCell ref="L173:M173"/>
    <mergeCell ref="L176:M176"/>
    <mergeCell ref="N176:Q176"/>
    <mergeCell ref="F179:I179"/>
    <mergeCell ref="L179:M179"/>
    <mergeCell ref="N179:Q179"/>
    <mergeCell ref="F180:I180"/>
    <mergeCell ref="L180:M180"/>
    <mergeCell ref="N180:Q180"/>
    <mergeCell ref="F193:I193"/>
    <mergeCell ref="L193:M193"/>
    <mergeCell ref="N193:Q193"/>
    <mergeCell ref="N119:Q119"/>
    <mergeCell ref="N126:Q126"/>
    <mergeCell ref="N107:Q107"/>
    <mergeCell ref="N112:Q112"/>
    <mergeCell ref="N192:Q192"/>
    <mergeCell ref="N186:Q186"/>
    <mergeCell ref="N188:Q188"/>
    <mergeCell ref="N185:Q185"/>
    <mergeCell ref="F189:I189"/>
    <mergeCell ref="L189:M189"/>
    <mergeCell ref="N189:Q189"/>
    <mergeCell ref="F191:I191"/>
    <mergeCell ref="L191:M191"/>
    <mergeCell ref="N191:Q191"/>
    <mergeCell ref="N190:Q190"/>
    <mergeCell ref="F187:I187"/>
    <mergeCell ref="L187:M187"/>
    <mergeCell ref="N187:Q187"/>
    <mergeCell ref="F182:I182"/>
    <mergeCell ref="L182:M182"/>
    <mergeCell ref="F174:I174"/>
    <mergeCell ref="N60:Q60"/>
    <mergeCell ref="N61:Q61"/>
    <mergeCell ref="N62:Q62"/>
    <mergeCell ref="N64:Q64"/>
    <mergeCell ref="N67:Q67"/>
    <mergeCell ref="N181:Q181"/>
    <mergeCell ref="N116:Q116"/>
    <mergeCell ref="N95:Q95"/>
    <mergeCell ref="N96:Q96"/>
    <mergeCell ref="N98:Q98"/>
    <mergeCell ref="N173:Q173"/>
    <mergeCell ref="N144:Q144"/>
    <mergeCell ref="N143:Q143"/>
    <mergeCell ref="N169:Q169"/>
    <mergeCell ref="N165:Q165"/>
    <mergeCell ref="N170:Q170"/>
    <mergeCell ref="N178:Q178"/>
    <mergeCell ref="N177:Q177"/>
    <mergeCell ref="N174:Q174"/>
    <mergeCell ref="N171:Q171"/>
    <mergeCell ref="N172:Q172"/>
    <mergeCell ref="N142:Q142"/>
    <mergeCell ref="N145:Q145"/>
    <mergeCell ref="N135:Q135"/>
    <mergeCell ref="L147:M147"/>
    <mergeCell ref="N147:Q147"/>
    <mergeCell ref="F152:I152"/>
    <mergeCell ref="F142:I142"/>
    <mergeCell ref="F145:I145"/>
    <mergeCell ref="L145:M145"/>
    <mergeCell ref="L142:M142"/>
    <mergeCell ref="F143:I143"/>
    <mergeCell ref="L143:M143"/>
    <mergeCell ref="F135:I135"/>
    <mergeCell ref="L135:M135"/>
    <mergeCell ref="F139:I139"/>
    <mergeCell ref="L139:M139"/>
    <mergeCell ref="N139:Q139"/>
    <mergeCell ref="F140:I140"/>
    <mergeCell ref="L140:M140"/>
    <mergeCell ref="F138:I138"/>
    <mergeCell ref="L138:M138"/>
    <mergeCell ref="N138:Q138"/>
    <mergeCell ref="N183:Q183"/>
    <mergeCell ref="F184:I184"/>
    <mergeCell ref="L184:M184"/>
    <mergeCell ref="N184:Q184"/>
    <mergeCell ref="F91:I91"/>
    <mergeCell ref="L91:M91"/>
    <mergeCell ref="N91:Q91"/>
    <mergeCell ref="F175:I175"/>
    <mergeCell ref="L175:M175"/>
    <mergeCell ref="N175:Q175"/>
    <mergeCell ref="F169:I169"/>
    <mergeCell ref="L169:M169"/>
    <mergeCell ref="F153:I153"/>
    <mergeCell ref="L153:M153"/>
    <mergeCell ref="N153:Q153"/>
    <mergeCell ref="N182:Q182"/>
    <mergeCell ref="F178:I178"/>
    <mergeCell ref="L178:M178"/>
    <mergeCell ref="F176:I176"/>
    <mergeCell ref="L174:M174"/>
    <mergeCell ref="F171:I171"/>
    <mergeCell ref="L171:M171"/>
    <mergeCell ref="F172:I172"/>
    <mergeCell ref="L172:M172"/>
  </mergeCells>
  <pageMargins left="0.59027779102325439" right="0.59027779102325439" top="0.59027779102325439" bottom="0.59027779102325439" header="0" footer="0"/>
  <pageSetup paperSize="9" scale="77" fitToHeight="100" orientation="portrait" blackAndWhite="1" r:id="rId1"/>
  <headerFooter alignWithMargins="0">
    <oddFooter>&amp;CStrana &amp;P z &amp;N</oddFooter>
  </headerFooter>
  <rowBreaks count="4" manualBreakCount="4">
    <brk id="46" max="16383" man="1"/>
    <brk id="94" max="16383" man="1"/>
    <brk id="133" max="16383" man="1"/>
    <brk id="1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115" zoomScalePageLayoutView="70" workbookViewId="0">
      <selection activeCell="L14" sqref="L14:O14"/>
    </sheetView>
  </sheetViews>
  <sheetFormatPr defaultRowHeight="13.5" x14ac:dyDescent="0.3"/>
  <cols>
    <col min="1" max="1" width="9.33203125" style="2"/>
    <col min="2" max="2" width="6.33203125" style="2" customWidth="1"/>
    <col min="3" max="3" width="1.83203125" style="2" hidden="1" customWidth="1"/>
    <col min="4" max="6" width="9.33203125" style="2"/>
    <col min="7" max="7" width="46.5" style="2" customWidth="1"/>
    <col min="8" max="13" width="9.33203125" style="2"/>
    <col min="14" max="14" width="1.6640625" style="2" customWidth="1"/>
    <col min="15" max="15" width="9.33203125" style="2" hidden="1" customWidth="1"/>
    <col min="16" max="16" width="2.6640625" style="2" customWidth="1"/>
    <col min="17" max="16384" width="9.33203125" style="2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6"/>
      <c r="Q2" s="7"/>
    </row>
    <row r="3" spans="1:17" ht="21" x14ac:dyDescent="0.3">
      <c r="A3" s="247" t="s">
        <v>76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248"/>
      <c r="P3" s="6"/>
      <c r="Q3" s="7"/>
    </row>
    <row r="4" spans="1:17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6"/>
      <c r="Q4" s="7"/>
    </row>
    <row r="5" spans="1:17" ht="18" x14ac:dyDescent="0.3">
      <c r="A5" s="11" t="s">
        <v>2</v>
      </c>
      <c r="B5" s="9"/>
      <c r="C5" s="9"/>
      <c r="D5" s="249" t="s">
        <v>244</v>
      </c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0"/>
      <c r="P5" s="6"/>
      <c r="Q5" s="7"/>
    </row>
    <row r="6" spans="1:17" x14ac:dyDescent="0.3">
      <c r="A6" s="8"/>
      <c r="B6" s="9"/>
      <c r="C6" s="9"/>
      <c r="D6" s="249" t="s">
        <v>250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6"/>
      <c r="Q6" s="7"/>
    </row>
    <row r="7" spans="1:17" ht="15" x14ac:dyDescent="0.3">
      <c r="A7" s="12" t="s">
        <v>5</v>
      </c>
      <c r="B7" s="9"/>
      <c r="C7" s="9"/>
      <c r="D7" s="13" t="s">
        <v>247</v>
      </c>
      <c r="E7" s="9"/>
      <c r="F7" s="9"/>
      <c r="G7" s="9"/>
      <c r="H7" s="9"/>
      <c r="I7" s="14" t="s">
        <v>6</v>
      </c>
      <c r="J7" s="9"/>
      <c r="K7" s="250" t="s">
        <v>245</v>
      </c>
      <c r="L7" s="251"/>
      <c r="M7" s="251"/>
      <c r="N7" s="251"/>
      <c r="O7" s="10"/>
      <c r="P7" s="6"/>
      <c r="Q7" s="7"/>
    </row>
    <row r="8" spans="1:17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6"/>
      <c r="Q8" s="7"/>
    </row>
    <row r="9" spans="1:17" ht="15" x14ac:dyDescent="0.3">
      <c r="A9" s="12" t="s">
        <v>7</v>
      </c>
      <c r="B9" s="9"/>
      <c r="C9" s="9"/>
      <c r="D9" s="13" t="s">
        <v>246</v>
      </c>
      <c r="E9" s="9"/>
      <c r="F9" s="9"/>
      <c r="G9" s="9"/>
      <c r="H9" s="9"/>
      <c r="I9" s="14" t="s">
        <v>9</v>
      </c>
      <c r="J9" s="9"/>
      <c r="K9" s="176" t="s">
        <v>248</v>
      </c>
      <c r="L9" s="177"/>
      <c r="M9" s="177"/>
      <c r="N9" s="177"/>
      <c r="O9" s="248"/>
      <c r="P9" s="6"/>
      <c r="Q9" s="7"/>
    </row>
    <row r="10" spans="1:17" ht="15" x14ac:dyDescent="0.3">
      <c r="A10" s="12" t="s">
        <v>8</v>
      </c>
      <c r="B10" s="9"/>
      <c r="C10" s="9"/>
      <c r="D10" s="48"/>
      <c r="E10" s="49"/>
      <c r="F10" s="49"/>
      <c r="G10" s="49"/>
      <c r="H10" s="9"/>
      <c r="I10" s="14" t="s">
        <v>10</v>
      </c>
      <c r="J10" s="9"/>
      <c r="K10" s="176"/>
      <c r="L10" s="177"/>
      <c r="M10" s="177"/>
      <c r="N10" s="177"/>
      <c r="O10" s="248"/>
      <c r="P10" s="6"/>
      <c r="Q10" s="7"/>
    </row>
    <row r="11" spans="1:17" x14ac:dyDescent="0.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6"/>
      <c r="Q11" s="7"/>
    </row>
    <row r="12" spans="1:17" ht="15" x14ac:dyDescent="0.3">
      <c r="A12" s="15" t="s">
        <v>77</v>
      </c>
      <c r="B12" s="16"/>
      <c r="C12" s="16"/>
      <c r="D12" s="234" t="s">
        <v>79</v>
      </c>
      <c r="E12" s="235"/>
      <c r="F12" s="235"/>
      <c r="G12" s="235"/>
      <c r="H12" s="16" t="s">
        <v>80</v>
      </c>
      <c r="I12" s="16" t="s">
        <v>81</v>
      </c>
      <c r="J12" s="234" t="s">
        <v>82</v>
      </c>
      <c r="K12" s="235"/>
      <c r="L12" s="234" t="s">
        <v>83</v>
      </c>
      <c r="M12" s="235"/>
      <c r="N12" s="235"/>
      <c r="O12" s="252"/>
      <c r="P12" s="17"/>
      <c r="Q12" s="18"/>
    </row>
    <row r="13" spans="1:17" ht="15" x14ac:dyDescent="0.3">
      <c r="A13" s="19"/>
      <c r="B13" s="20" t="s">
        <v>225</v>
      </c>
      <c r="C13" s="21"/>
      <c r="D13" s="21"/>
      <c r="E13" s="21"/>
      <c r="F13" s="21"/>
      <c r="G13" s="21"/>
      <c r="H13" s="21"/>
      <c r="I13" s="21"/>
      <c r="J13" s="21"/>
      <c r="K13" s="21"/>
      <c r="L13" s="243">
        <f>SUM(L14:O37)</f>
        <v>0</v>
      </c>
      <c r="M13" s="244"/>
      <c r="N13" s="244"/>
      <c r="O13" s="245"/>
      <c r="P13" s="22"/>
      <c r="Q13" s="23"/>
    </row>
    <row r="14" spans="1:17" x14ac:dyDescent="0.3">
      <c r="A14" s="24" t="s">
        <v>226</v>
      </c>
      <c r="B14" s="25"/>
      <c r="C14" s="26"/>
      <c r="D14" s="192" t="s">
        <v>254</v>
      </c>
      <c r="E14" s="193"/>
      <c r="F14" s="193"/>
      <c r="G14" s="193"/>
      <c r="H14" s="27" t="s">
        <v>213</v>
      </c>
      <c r="I14" s="28">
        <v>1</v>
      </c>
      <c r="J14" s="194"/>
      <c r="K14" s="195"/>
      <c r="L14" s="196">
        <f>J14*I14</f>
        <v>0</v>
      </c>
      <c r="M14" s="193"/>
      <c r="N14" s="193"/>
      <c r="O14" s="246"/>
      <c r="P14" s="6"/>
      <c r="Q14" s="7"/>
    </row>
    <row r="15" spans="1:17" x14ac:dyDescent="0.3">
      <c r="A15" s="24"/>
      <c r="B15" s="25"/>
      <c r="C15" s="26"/>
      <c r="D15" s="29" t="s">
        <v>253</v>
      </c>
      <c r="E15" s="30"/>
      <c r="F15" s="30"/>
      <c r="G15" s="30"/>
      <c r="H15" s="27"/>
      <c r="I15" s="28"/>
      <c r="J15" s="31"/>
      <c r="K15" s="32"/>
      <c r="L15" s="33"/>
      <c r="M15" s="30"/>
      <c r="N15" s="30"/>
      <c r="O15" s="34"/>
      <c r="P15" s="6"/>
      <c r="Q15" s="7"/>
    </row>
    <row r="16" spans="1:17" x14ac:dyDescent="0.3">
      <c r="A16" s="24" t="s">
        <v>227</v>
      </c>
      <c r="B16" s="25"/>
      <c r="C16" s="26"/>
      <c r="D16" s="192" t="s">
        <v>255</v>
      </c>
      <c r="E16" s="193"/>
      <c r="F16" s="193"/>
      <c r="G16" s="193"/>
      <c r="H16" s="27" t="s">
        <v>224</v>
      </c>
      <c r="I16" s="28">
        <v>1</v>
      </c>
      <c r="J16" s="194"/>
      <c r="K16" s="195"/>
      <c r="L16" s="196">
        <f>J16*I16</f>
        <v>0</v>
      </c>
      <c r="M16" s="193"/>
      <c r="N16" s="193"/>
      <c r="O16" s="246"/>
      <c r="P16" s="6"/>
      <c r="Q16" s="7"/>
    </row>
    <row r="17" spans="1:17" x14ac:dyDescent="0.3">
      <c r="A17" s="24" t="s">
        <v>228</v>
      </c>
      <c r="B17" s="25"/>
      <c r="C17" s="26"/>
      <c r="D17" s="192" t="s">
        <v>256</v>
      </c>
      <c r="E17" s="193"/>
      <c r="F17" s="193"/>
      <c r="G17" s="193"/>
      <c r="H17" s="27" t="s">
        <v>224</v>
      </c>
      <c r="I17" s="28">
        <v>2</v>
      </c>
      <c r="J17" s="194"/>
      <c r="K17" s="195"/>
      <c r="L17" s="196">
        <f>J17*I17</f>
        <v>0</v>
      </c>
      <c r="M17" s="193"/>
      <c r="N17" s="193"/>
      <c r="O17" s="246"/>
      <c r="P17" s="6"/>
      <c r="Q17" s="7"/>
    </row>
    <row r="18" spans="1:17" x14ac:dyDescent="0.3">
      <c r="A18" s="24" t="s">
        <v>229</v>
      </c>
      <c r="B18" s="25"/>
      <c r="C18" s="26"/>
      <c r="D18" s="192" t="s">
        <v>257</v>
      </c>
      <c r="E18" s="193"/>
      <c r="F18" s="193"/>
      <c r="G18" s="193"/>
      <c r="H18" s="27" t="s">
        <v>224</v>
      </c>
      <c r="I18" s="28">
        <v>22</v>
      </c>
      <c r="J18" s="194"/>
      <c r="K18" s="195"/>
      <c r="L18" s="196">
        <f>J18*I18</f>
        <v>0</v>
      </c>
      <c r="M18" s="193"/>
      <c r="N18" s="193"/>
      <c r="O18" s="246"/>
      <c r="P18" s="6"/>
      <c r="Q18" s="7"/>
    </row>
    <row r="19" spans="1:17" x14ac:dyDescent="0.3">
      <c r="A19" s="24" t="s">
        <v>230</v>
      </c>
      <c r="B19" s="25"/>
      <c r="C19" s="26"/>
      <c r="D19" s="192" t="s">
        <v>258</v>
      </c>
      <c r="E19" s="193"/>
      <c r="F19" s="193"/>
      <c r="G19" s="193"/>
      <c r="H19" s="27" t="s">
        <v>224</v>
      </c>
      <c r="I19" s="28">
        <v>8</v>
      </c>
      <c r="J19" s="194"/>
      <c r="K19" s="195"/>
      <c r="L19" s="196">
        <f>J19*I19</f>
        <v>0</v>
      </c>
      <c r="M19" s="193"/>
      <c r="N19" s="193"/>
      <c r="O19" s="246"/>
      <c r="P19" s="6"/>
      <c r="Q19" s="7"/>
    </row>
    <row r="20" spans="1:17" x14ac:dyDescent="0.3">
      <c r="A20" s="24" t="s">
        <v>231</v>
      </c>
      <c r="B20" s="25"/>
      <c r="C20" s="26"/>
      <c r="D20" s="192" t="s">
        <v>259</v>
      </c>
      <c r="E20" s="193"/>
      <c r="F20" s="193"/>
      <c r="G20" s="193"/>
      <c r="H20" s="27" t="s">
        <v>224</v>
      </c>
      <c r="I20" s="28">
        <v>3</v>
      </c>
      <c r="J20" s="194"/>
      <c r="K20" s="195"/>
      <c r="L20" s="196">
        <f>J20*I20</f>
        <v>0</v>
      </c>
      <c r="M20" s="193"/>
      <c r="N20" s="193"/>
      <c r="O20" s="246"/>
      <c r="P20" s="6"/>
      <c r="Q20" s="7"/>
    </row>
    <row r="21" spans="1:17" x14ac:dyDescent="0.3">
      <c r="A21" s="24" t="s">
        <v>232</v>
      </c>
      <c r="B21" s="25"/>
      <c r="C21" s="26"/>
      <c r="D21" s="192" t="s">
        <v>260</v>
      </c>
      <c r="E21" s="193"/>
      <c r="F21" s="193"/>
      <c r="G21" s="193"/>
      <c r="H21" s="27" t="s">
        <v>224</v>
      </c>
      <c r="I21" s="28">
        <v>8</v>
      </c>
      <c r="J21" s="194"/>
      <c r="K21" s="195"/>
      <c r="L21" s="196">
        <f t="shared" ref="L21:L27" si="0">J21*I21</f>
        <v>0</v>
      </c>
      <c r="M21" s="193"/>
      <c r="N21" s="193"/>
      <c r="O21" s="246"/>
      <c r="P21" s="6"/>
      <c r="Q21" s="7"/>
    </row>
    <row r="22" spans="1:17" x14ac:dyDescent="0.3">
      <c r="A22" s="24"/>
      <c r="B22" s="25"/>
      <c r="C22" s="26"/>
      <c r="D22" s="29" t="s">
        <v>253</v>
      </c>
      <c r="E22" s="30"/>
      <c r="F22" s="30"/>
      <c r="G22" s="30"/>
      <c r="H22" s="27"/>
      <c r="I22" s="28"/>
      <c r="J22" s="31"/>
      <c r="K22" s="32"/>
      <c r="L22" s="33"/>
      <c r="M22" s="30"/>
      <c r="N22" s="30"/>
      <c r="O22" s="34"/>
      <c r="P22" s="6"/>
      <c r="Q22" s="7"/>
    </row>
    <row r="23" spans="1:17" x14ac:dyDescent="0.3">
      <c r="A23" s="24" t="s">
        <v>233</v>
      </c>
      <c r="B23" s="25"/>
      <c r="C23" s="26"/>
      <c r="D23" s="192" t="s">
        <v>261</v>
      </c>
      <c r="E23" s="193"/>
      <c r="F23" s="193"/>
      <c r="G23" s="193"/>
      <c r="H23" s="27" t="s">
        <v>213</v>
      </c>
      <c r="I23" s="28">
        <v>1</v>
      </c>
      <c r="J23" s="220">
        <v>0</v>
      </c>
      <c r="K23" s="198"/>
      <c r="L23" s="196">
        <f t="shared" si="0"/>
        <v>0</v>
      </c>
      <c r="M23" s="193"/>
      <c r="N23" s="193"/>
      <c r="O23" s="246"/>
      <c r="P23" s="6"/>
      <c r="Q23" s="7"/>
    </row>
    <row r="24" spans="1:17" x14ac:dyDescent="0.3">
      <c r="A24" s="24"/>
      <c r="B24" s="25"/>
      <c r="C24" s="26"/>
      <c r="D24" s="29" t="s">
        <v>262</v>
      </c>
      <c r="E24" s="30"/>
      <c r="F24" s="30"/>
      <c r="G24" s="30"/>
      <c r="H24" s="27"/>
      <c r="I24" s="28"/>
      <c r="J24" s="31"/>
      <c r="K24" s="32"/>
      <c r="L24" s="33"/>
      <c r="M24" s="30"/>
      <c r="N24" s="30"/>
      <c r="O24" s="34"/>
      <c r="P24" s="6"/>
      <c r="Q24" s="7"/>
    </row>
    <row r="25" spans="1:17" x14ac:dyDescent="0.3">
      <c r="A25" s="24" t="s">
        <v>234</v>
      </c>
      <c r="B25" s="25"/>
      <c r="C25" s="26"/>
      <c r="D25" s="192" t="s">
        <v>263</v>
      </c>
      <c r="E25" s="193"/>
      <c r="F25" s="193"/>
      <c r="G25" s="193"/>
      <c r="H25" s="27" t="s">
        <v>213</v>
      </c>
      <c r="I25" s="28">
        <v>1</v>
      </c>
      <c r="J25" s="194"/>
      <c r="K25" s="195"/>
      <c r="L25" s="196">
        <f t="shared" si="0"/>
        <v>0</v>
      </c>
      <c r="M25" s="193"/>
      <c r="N25" s="193"/>
      <c r="O25" s="246"/>
      <c r="P25" s="6"/>
      <c r="Q25" s="7"/>
    </row>
    <row r="26" spans="1:17" x14ac:dyDescent="0.3">
      <c r="A26" s="24"/>
      <c r="B26" s="25"/>
      <c r="C26" s="26"/>
      <c r="D26" s="29" t="s">
        <v>253</v>
      </c>
      <c r="E26" s="30"/>
      <c r="F26" s="30"/>
      <c r="G26" s="30"/>
      <c r="H26" s="27"/>
      <c r="I26" s="28"/>
      <c r="J26" s="31"/>
      <c r="K26" s="32"/>
      <c r="L26" s="33"/>
      <c r="M26" s="30"/>
      <c r="N26" s="30"/>
      <c r="O26" s="34"/>
      <c r="P26" s="6"/>
      <c r="Q26" s="7"/>
    </row>
    <row r="27" spans="1:17" x14ac:dyDescent="0.3">
      <c r="A27" s="24" t="s">
        <v>235</v>
      </c>
      <c r="B27" s="25"/>
      <c r="C27" s="26"/>
      <c r="D27" s="192" t="s">
        <v>264</v>
      </c>
      <c r="E27" s="193"/>
      <c r="F27" s="193"/>
      <c r="G27" s="193"/>
      <c r="H27" s="27" t="s">
        <v>252</v>
      </c>
      <c r="I27" s="28">
        <v>140</v>
      </c>
      <c r="J27" s="194"/>
      <c r="K27" s="195"/>
      <c r="L27" s="196">
        <f t="shared" si="0"/>
        <v>0</v>
      </c>
      <c r="M27" s="193"/>
      <c r="N27" s="193"/>
      <c r="O27" s="246"/>
      <c r="P27" s="6"/>
      <c r="Q27" s="7"/>
    </row>
    <row r="28" spans="1:17" x14ac:dyDescent="0.3">
      <c r="A28" s="24"/>
      <c r="B28" s="25"/>
      <c r="C28" s="26"/>
      <c r="D28" s="29" t="s">
        <v>253</v>
      </c>
      <c r="E28" s="30"/>
      <c r="F28" s="30"/>
      <c r="G28" s="30"/>
      <c r="H28" s="27"/>
      <c r="I28" s="28"/>
      <c r="J28" s="31"/>
      <c r="K28" s="32"/>
      <c r="L28" s="33"/>
      <c r="M28" s="30"/>
      <c r="N28" s="30"/>
      <c r="O28" s="34"/>
      <c r="P28" s="6"/>
      <c r="Q28" s="7"/>
    </row>
    <row r="29" spans="1:17" x14ac:dyDescent="0.3">
      <c r="A29" s="24" t="s">
        <v>237</v>
      </c>
      <c r="B29" s="25"/>
      <c r="C29" s="26"/>
      <c r="D29" s="192" t="s">
        <v>265</v>
      </c>
      <c r="E29" s="193"/>
      <c r="F29" s="193"/>
      <c r="G29" s="193"/>
      <c r="H29" s="27" t="s">
        <v>252</v>
      </c>
      <c r="I29" s="28">
        <v>180</v>
      </c>
      <c r="J29" s="194"/>
      <c r="K29" s="195"/>
      <c r="L29" s="196">
        <f t="shared" ref="L29" si="1">J29*I29</f>
        <v>0</v>
      </c>
      <c r="M29" s="193"/>
      <c r="N29" s="193"/>
      <c r="O29" s="246"/>
      <c r="P29" s="6"/>
      <c r="Q29" s="7"/>
    </row>
    <row r="30" spans="1:17" x14ac:dyDescent="0.3">
      <c r="A30" s="24"/>
      <c r="B30" s="35"/>
      <c r="C30" s="36"/>
      <c r="D30" s="29" t="s">
        <v>253</v>
      </c>
      <c r="E30" s="37"/>
      <c r="F30" s="37"/>
      <c r="G30" s="37"/>
      <c r="H30" s="27"/>
      <c r="I30" s="38"/>
      <c r="J30" s="31"/>
      <c r="K30" s="32"/>
      <c r="L30" s="33"/>
      <c r="M30" s="30"/>
      <c r="N30" s="30"/>
      <c r="O30" s="34"/>
      <c r="P30" s="6"/>
      <c r="Q30" s="7"/>
    </row>
    <row r="31" spans="1:17" x14ac:dyDescent="0.3">
      <c r="A31" s="24" t="s">
        <v>238</v>
      </c>
      <c r="B31" s="39"/>
      <c r="C31" s="39"/>
      <c r="D31" s="40" t="s">
        <v>266</v>
      </c>
      <c r="E31" s="39"/>
      <c r="F31" s="39"/>
      <c r="G31" s="39"/>
      <c r="H31" s="27" t="s">
        <v>252</v>
      </c>
      <c r="I31" s="41">
        <v>300</v>
      </c>
      <c r="J31" s="194"/>
      <c r="K31" s="195"/>
      <c r="L31" s="196">
        <f t="shared" ref="L31:L35" si="2">J31*I31</f>
        <v>0</v>
      </c>
      <c r="M31" s="193"/>
      <c r="N31" s="193"/>
      <c r="O31" s="246"/>
      <c r="P31" s="42"/>
    </row>
    <row r="32" spans="1:17" x14ac:dyDescent="0.3">
      <c r="A32" s="24"/>
      <c r="B32" s="39"/>
      <c r="C32" s="39"/>
      <c r="D32" s="29" t="s">
        <v>253</v>
      </c>
      <c r="E32" s="39"/>
      <c r="F32" s="39"/>
      <c r="G32" s="39"/>
      <c r="H32" s="27"/>
      <c r="I32" s="41"/>
      <c r="J32" s="31"/>
      <c r="K32" s="32"/>
      <c r="L32" s="33"/>
      <c r="M32" s="30"/>
      <c r="N32" s="30"/>
      <c r="O32" s="34"/>
      <c r="P32" s="42"/>
    </row>
    <row r="33" spans="1:16" x14ac:dyDescent="0.3">
      <c r="A33" s="24" t="s">
        <v>239</v>
      </c>
      <c r="B33" s="39"/>
      <c r="C33" s="39"/>
      <c r="D33" s="40" t="s">
        <v>267</v>
      </c>
      <c r="E33" s="39"/>
      <c r="F33" s="39"/>
      <c r="G33" s="39"/>
      <c r="H33" s="27" t="s">
        <v>252</v>
      </c>
      <c r="I33" s="41">
        <v>70</v>
      </c>
      <c r="J33" s="194"/>
      <c r="K33" s="195"/>
      <c r="L33" s="196">
        <f t="shared" si="2"/>
        <v>0</v>
      </c>
      <c r="M33" s="193"/>
      <c r="N33" s="193"/>
      <c r="O33" s="246"/>
      <c r="P33" s="42"/>
    </row>
    <row r="34" spans="1:16" x14ac:dyDescent="0.3">
      <c r="A34" s="24"/>
      <c r="B34" s="39"/>
      <c r="C34" s="39"/>
      <c r="D34" s="29" t="s">
        <v>253</v>
      </c>
      <c r="E34" s="39"/>
      <c r="F34" s="39"/>
      <c r="G34" s="39"/>
      <c r="H34" s="27"/>
      <c r="I34" s="41"/>
      <c r="J34" s="31"/>
      <c r="K34" s="32"/>
      <c r="L34" s="33"/>
      <c r="M34" s="30"/>
      <c r="N34" s="30"/>
      <c r="O34" s="34"/>
      <c r="P34" s="42"/>
    </row>
    <row r="35" spans="1:16" x14ac:dyDescent="0.3">
      <c r="A35" s="24" t="s">
        <v>240</v>
      </c>
      <c r="B35" s="39"/>
      <c r="C35" s="39"/>
      <c r="D35" s="40" t="s">
        <v>268</v>
      </c>
      <c r="E35" s="39"/>
      <c r="F35" s="39"/>
      <c r="G35" s="39"/>
      <c r="H35" s="27" t="s">
        <v>252</v>
      </c>
      <c r="I35" s="41">
        <v>150</v>
      </c>
      <c r="J35" s="194"/>
      <c r="K35" s="195"/>
      <c r="L35" s="196">
        <f t="shared" si="2"/>
        <v>0</v>
      </c>
      <c r="M35" s="193"/>
      <c r="N35" s="193"/>
      <c r="O35" s="246"/>
      <c r="P35" s="42"/>
    </row>
    <row r="36" spans="1:16" x14ac:dyDescent="0.3">
      <c r="A36" s="24"/>
      <c r="B36" s="39"/>
      <c r="C36" s="39"/>
      <c r="D36" s="29" t="s">
        <v>253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3"/>
      <c r="P36" s="42"/>
    </row>
    <row r="37" spans="1:16" x14ac:dyDescent="0.3">
      <c r="A37" s="44" t="s">
        <v>251</v>
      </c>
      <c r="B37" s="39"/>
      <c r="C37" s="39"/>
      <c r="D37" s="40" t="s">
        <v>269</v>
      </c>
      <c r="E37" s="39"/>
      <c r="F37" s="39"/>
      <c r="G37" s="39"/>
      <c r="H37" s="27" t="s">
        <v>213</v>
      </c>
      <c r="I37" s="39">
        <v>1</v>
      </c>
      <c r="J37" s="194"/>
      <c r="K37" s="195"/>
      <c r="L37" s="196">
        <f t="shared" ref="L37" si="3">J37*I37</f>
        <v>0</v>
      </c>
      <c r="M37" s="193"/>
      <c r="N37" s="193"/>
      <c r="O37" s="246"/>
      <c r="P37" s="42"/>
    </row>
    <row r="38" spans="1:16" x14ac:dyDescent="0.3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42"/>
    </row>
  </sheetData>
  <sheetProtection password="CC06" sheet="1" objects="1" scenarios="1"/>
  <mergeCells count="51">
    <mergeCell ref="J37:K37"/>
    <mergeCell ref="L37:O37"/>
    <mergeCell ref="D27:G27"/>
    <mergeCell ref="J27:K27"/>
    <mergeCell ref="L27:O27"/>
    <mergeCell ref="D29:G29"/>
    <mergeCell ref="J29:K29"/>
    <mergeCell ref="L29:O29"/>
    <mergeCell ref="J31:K31"/>
    <mergeCell ref="J33:K33"/>
    <mergeCell ref="J35:K35"/>
    <mergeCell ref="L31:O31"/>
    <mergeCell ref="L33:O33"/>
    <mergeCell ref="L35:O35"/>
    <mergeCell ref="D23:G23"/>
    <mergeCell ref="J23:K23"/>
    <mergeCell ref="L23:O23"/>
    <mergeCell ref="D25:G25"/>
    <mergeCell ref="J25:K25"/>
    <mergeCell ref="L25:O25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D16:G16"/>
    <mergeCell ref="J16:K16"/>
    <mergeCell ref="L16:O16"/>
    <mergeCell ref="D17:G17"/>
    <mergeCell ref="J17:K17"/>
    <mergeCell ref="L17:O17"/>
    <mergeCell ref="L13:O13"/>
    <mergeCell ref="D14:G14"/>
    <mergeCell ref="J14:K14"/>
    <mergeCell ref="L14:O14"/>
    <mergeCell ref="A3:O3"/>
    <mergeCell ref="D5:N5"/>
    <mergeCell ref="K7:N7"/>
    <mergeCell ref="K9:O9"/>
    <mergeCell ref="K10:O10"/>
    <mergeCell ref="D12:G12"/>
    <mergeCell ref="J12:K12"/>
    <mergeCell ref="L12:O12"/>
    <mergeCell ref="D6:N6"/>
  </mergeCells>
  <pageMargins left="0.78740157480314965" right="0.39370078740157483" top="0.78740157480314965" bottom="0" header="0.51181102362204722" footer="0.5118110236220472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45" workbookViewId="0">
      <selection activeCell="T23" sqref="T23"/>
    </sheetView>
  </sheetViews>
  <sheetFormatPr defaultRowHeight="13.5" x14ac:dyDescent="0.3"/>
  <cols>
    <col min="1" max="1" width="5.1640625" style="2" customWidth="1"/>
    <col min="2" max="2" width="1.1640625" style="2" customWidth="1"/>
    <col min="3" max="3" width="9.33203125" style="2"/>
    <col min="4" max="4" width="6.33203125" style="2" customWidth="1"/>
    <col min="5" max="5" width="1.83203125" style="2" hidden="1" customWidth="1"/>
    <col min="6" max="8" width="9.33203125" style="2"/>
    <col min="9" max="9" width="15.6640625" style="2" customWidth="1"/>
    <col min="10" max="15" width="9.33203125" style="2"/>
    <col min="16" max="16" width="1.6640625" style="2" customWidth="1"/>
    <col min="17" max="17" width="9.33203125" style="2" hidden="1" customWidth="1"/>
    <col min="18" max="18" width="2.1640625" style="2" customWidth="1"/>
    <col min="19" max="16384" width="9.33203125" style="2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">
      <c r="A2" s="7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S2" s="7"/>
    </row>
    <row r="3" spans="1:19" ht="21" x14ac:dyDescent="0.3">
      <c r="A3" s="7"/>
      <c r="B3" s="53"/>
      <c r="C3" s="186" t="s">
        <v>76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54"/>
      <c r="S3" s="7"/>
    </row>
    <row r="4" spans="1:19" x14ac:dyDescent="0.3">
      <c r="A4" s="7"/>
      <c r="B4" s="5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4"/>
      <c r="S4" s="7"/>
    </row>
    <row r="5" spans="1:19" ht="18" x14ac:dyDescent="0.3">
      <c r="A5" s="7"/>
      <c r="B5" s="53"/>
      <c r="C5" s="55" t="s">
        <v>2</v>
      </c>
      <c r="D5" s="7"/>
      <c r="E5" s="7"/>
      <c r="F5" s="185" t="s">
        <v>244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7"/>
      <c r="R5" s="54"/>
      <c r="S5" s="7"/>
    </row>
    <row r="6" spans="1:19" x14ac:dyDescent="0.3">
      <c r="A6" s="7"/>
      <c r="B6" s="53"/>
      <c r="C6" s="7"/>
      <c r="D6" s="7"/>
      <c r="E6" s="7"/>
      <c r="F6" s="185" t="s">
        <v>249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7"/>
      <c r="R6" s="54"/>
      <c r="S6" s="7"/>
    </row>
    <row r="7" spans="1:19" ht="15" x14ac:dyDescent="0.3">
      <c r="A7" s="7"/>
      <c r="B7" s="53"/>
      <c r="C7" s="56" t="s">
        <v>5</v>
      </c>
      <c r="D7" s="7"/>
      <c r="E7" s="7"/>
      <c r="F7" s="57" t="s">
        <v>247</v>
      </c>
      <c r="G7" s="7"/>
      <c r="H7" s="7"/>
      <c r="I7" s="7"/>
      <c r="J7" s="7"/>
      <c r="K7" s="56" t="s">
        <v>6</v>
      </c>
      <c r="L7" s="7"/>
      <c r="M7" s="232" t="s">
        <v>245</v>
      </c>
      <c r="N7" s="233"/>
      <c r="O7" s="233"/>
      <c r="P7" s="233"/>
      <c r="Q7" s="7"/>
      <c r="R7" s="54"/>
      <c r="S7" s="7"/>
    </row>
    <row r="8" spans="1:19" x14ac:dyDescent="0.3">
      <c r="A8" s="7"/>
      <c r="B8" s="5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4"/>
      <c r="S8" s="7"/>
    </row>
    <row r="9" spans="1:19" ht="15" x14ac:dyDescent="0.3">
      <c r="A9" s="7"/>
      <c r="B9" s="53"/>
      <c r="C9" s="56" t="s">
        <v>7</v>
      </c>
      <c r="D9" s="7"/>
      <c r="E9" s="7"/>
      <c r="F9" s="57" t="s">
        <v>246</v>
      </c>
      <c r="G9" s="7"/>
      <c r="H9" s="7"/>
      <c r="I9" s="7"/>
      <c r="J9" s="7"/>
      <c r="K9" s="56" t="s">
        <v>9</v>
      </c>
      <c r="L9" s="7"/>
      <c r="M9" s="188" t="s">
        <v>248</v>
      </c>
      <c r="N9" s="212"/>
      <c r="O9" s="212"/>
      <c r="P9" s="212"/>
      <c r="Q9" s="212"/>
      <c r="R9" s="54"/>
      <c r="S9" s="7"/>
    </row>
    <row r="10" spans="1:19" ht="15" x14ac:dyDescent="0.3">
      <c r="A10" s="7"/>
      <c r="B10" s="53"/>
      <c r="C10" s="56" t="s">
        <v>8</v>
      </c>
      <c r="D10" s="7"/>
      <c r="E10" s="7"/>
      <c r="F10" s="162"/>
      <c r="G10" s="108"/>
      <c r="H10" s="108"/>
      <c r="I10" s="108"/>
      <c r="J10" s="7"/>
      <c r="K10" s="56" t="s">
        <v>10</v>
      </c>
      <c r="L10" s="7"/>
      <c r="M10" s="188"/>
      <c r="N10" s="212"/>
      <c r="O10" s="212"/>
      <c r="P10" s="212"/>
      <c r="Q10" s="212"/>
      <c r="R10" s="54"/>
      <c r="S10" s="7"/>
    </row>
    <row r="11" spans="1:19" x14ac:dyDescent="0.3">
      <c r="A11" s="7"/>
      <c r="B11" s="5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54"/>
      <c r="S11" s="7"/>
    </row>
    <row r="12" spans="1:19" ht="15" x14ac:dyDescent="0.3">
      <c r="A12" s="18"/>
      <c r="B12" s="59"/>
      <c r="C12" s="60" t="s">
        <v>77</v>
      </c>
      <c r="D12" s="16"/>
      <c r="E12" s="16"/>
      <c r="F12" s="234" t="s">
        <v>79</v>
      </c>
      <c r="G12" s="235"/>
      <c r="H12" s="235"/>
      <c r="I12" s="235"/>
      <c r="J12" s="16" t="s">
        <v>80</v>
      </c>
      <c r="K12" s="16" t="s">
        <v>81</v>
      </c>
      <c r="L12" s="234" t="s">
        <v>82</v>
      </c>
      <c r="M12" s="235"/>
      <c r="N12" s="234" t="s">
        <v>83</v>
      </c>
      <c r="O12" s="235"/>
      <c r="P12" s="235"/>
      <c r="Q12" s="236"/>
      <c r="R12" s="61"/>
      <c r="S12" s="18"/>
    </row>
    <row r="13" spans="1:19" ht="15" x14ac:dyDescent="0.3">
      <c r="A13" s="62"/>
      <c r="B13" s="63"/>
      <c r="C13" s="62"/>
      <c r="D13" s="64" t="s">
        <v>236</v>
      </c>
      <c r="E13" s="62"/>
      <c r="F13" s="62"/>
      <c r="G13" s="62"/>
      <c r="H13" s="62"/>
      <c r="I13" s="62"/>
      <c r="J13" s="62"/>
      <c r="K13" s="62"/>
      <c r="L13" s="62"/>
      <c r="M13" s="62"/>
      <c r="N13" s="190">
        <f>SUM(N14:Q22)</f>
        <v>0</v>
      </c>
      <c r="O13" s="191"/>
      <c r="P13" s="191"/>
      <c r="Q13" s="191"/>
      <c r="R13" s="65"/>
      <c r="S13" s="23"/>
    </row>
    <row r="14" spans="1:19" x14ac:dyDescent="0.3">
      <c r="A14" s="7"/>
      <c r="B14" s="53"/>
      <c r="C14" s="25" t="s">
        <v>226</v>
      </c>
      <c r="D14" s="25"/>
      <c r="E14" s="26"/>
      <c r="F14" s="192" t="s">
        <v>270</v>
      </c>
      <c r="G14" s="193"/>
      <c r="H14" s="193"/>
      <c r="I14" s="193"/>
      <c r="J14" s="27" t="s">
        <v>213</v>
      </c>
      <c r="K14" s="28">
        <v>70</v>
      </c>
      <c r="L14" s="194"/>
      <c r="M14" s="195"/>
      <c r="N14" s="196">
        <f>L14*K14</f>
        <v>0</v>
      </c>
      <c r="O14" s="193"/>
      <c r="P14" s="193"/>
      <c r="Q14" s="193"/>
      <c r="R14" s="54"/>
      <c r="S14" s="7"/>
    </row>
    <row r="15" spans="1:19" x14ac:dyDescent="0.3">
      <c r="A15" s="7"/>
      <c r="B15" s="53"/>
      <c r="C15" s="25"/>
      <c r="D15" s="25"/>
      <c r="E15" s="26"/>
      <c r="F15" s="29" t="s">
        <v>253</v>
      </c>
      <c r="G15" s="30"/>
      <c r="H15" s="30"/>
      <c r="I15" s="30"/>
      <c r="J15" s="27"/>
      <c r="K15" s="28"/>
      <c r="L15" s="31"/>
      <c r="M15" s="32"/>
      <c r="N15" s="33"/>
      <c r="O15" s="30"/>
      <c r="P15" s="30"/>
      <c r="Q15" s="30"/>
      <c r="R15" s="54"/>
      <c r="S15" s="7"/>
    </row>
    <row r="16" spans="1:19" ht="13.5" customHeight="1" x14ac:dyDescent="0.3">
      <c r="A16" s="7"/>
      <c r="B16" s="53"/>
      <c r="C16" s="25" t="s">
        <v>227</v>
      </c>
      <c r="D16" s="25"/>
      <c r="E16" s="26"/>
      <c r="F16" s="192" t="s">
        <v>271</v>
      </c>
      <c r="G16" s="193"/>
      <c r="H16" s="193"/>
      <c r="I16" s="193"/>
      <c r="J16" s="27" t="s">
        <v>224</v>
      </c>
      <c r="K16" s="28">
        <v>20</v>
      </c>
      <c r="L16" s="194"/>
      <c r="M16" s="195"/>
      <c r="N16" s="196">
        <f>L16*K16</f>
        <v>0</v>
      </c>
      <c r="O16" s="193"/>
      <c r="P16" s="193"/>
      <c r="Q16" s="193"/>
      <c r="R16" s="54"/>
      <c r="S16" s="7"/>
    </row>
    <row r="17" spans="1:19" ht="13.5" customHeight="1" x14ac:dyDescent="0.3">
      <c r="A17" s="7"/>
      <c r="B17" s="53"/>
      <c r="C17" s="25" t="s">
        <v>228</v>
      </c>
      <c r="D17" s="25"/>
      <c r="E17" s="26"/>
      <c r="F17" s="29" t="s">
        <v>253</v>
      </c>
      <c r="G17" s="30"/>
      <c r="H17" s="30"/>
      <c r="I17" s="30"/>
      <c r="J17" s="66"/>
      <c r="K17" s="67"/>
      <c r="L17" s="31"/>
      <c r="M17" s="32"/>
      <c r="N17" s="220"/>
      <c r="O17" s="198"/>
      <c r="P17" s="198"/>
      <c r="Q17" s="198"/>
      <c r="R17" s="54"/>
      <c r="S17" s="7"/>
    </row>
    <row r="18" spans="1:19" x14ac:dyDescent="0.3">
      <c r="A18" s="7"/>
      <c r="B18" s="53"/>
      <c r="C18" s="25" t="s">
        <v>229</v>
      </c>
      <c r="D18" s="25"/>
      <c r="E18" s="26"/>
      <c r="F18" s="192" t="s">
        <v>272</v>
      </c>
      <c r="G18" s="193"/>
      <c r="H18" s="193"/>
      <c r="I18" s="193"/>
      <c r="J18" s="27" t="s">
        <v>224</v>
      </c>
      <c r="K18" s="28">
        <v>8</v>
      </c>
      <c r="L18" s="194"/>
      <c r="M18" s="195"/>
      <c r="N18" s="196">
        <f>L18*K18</f>
        <v>0</v>
      </c>
      <c r="O18" s="193"/>
      <c r="P18" s="193"/>
      <c r="Q18" s="193"/>
      <c r="R18" s="54"/>
      <c r="S18" s="7"/>
    </row>
    <row r="19" spans="1:19" x14ac:dyDescent="0.3">
      <c r="A19" s="7"/>
      <c r="B19" s="53"/>
      <c r="C19" s="25" t="s">
        <v>230</v>
      </c>
      <c r="D19" s="25"/>
      <c r="E19" s="26"/>
      <c r="F19" s="192" t="s">
        <v>273</v>
      </c>
      <c r="G19" s="193"/>
      <c r="H19" s="193"/>
      <c r="I19" s="193"/>
      <c r="J19" s="27" t="s">
        <v>224</v>
      </c>
      <c r="K19" s="28">
        <v>7</v>
      </c>
      <c r="L19" s="194"/>
      <c r="M19" s="195"/>
      <c r="N19" s="196">
        <f>L19*K19</f>
        <v>0</v>
      </c>
      <c r="O19" s="193"/>
      <c r="P19" s="193"/>
      <c r="Q19" s="193"/>
      <c r="R19" s="54"/>
      <c r="S19" s="7"/>
    </row>
    <row r="20" spans="1:19" x14ac:dyDescent="0.3">
      <c r="A20" s="7"/>
      <c r="B20" s="53"/>
      <c r="C20" s="25"/>
      <c r="D20" s="25"/>
      <c r="E20" s="26"/>
      <c r="F20" s="29" t="s">
        <v>275</v>
      </c>
      <c r="G20" s="30"/>
      <c r="H20" s="30"/>
      <c r="I20" s="30"/>
      <c r="J20" s="27"/>
      <c r="K20" s="28"/>
      <c r="L20" s="31"/>
      <c r="M20" s="32"/>
      <c r="N20" s="33"/>
      <c r="O20" s="30"/>
      <c r="P20" s="30"/>
      <c r="Q20" s="30"/>
      <c r="R20" s="54"/>
      <c r="S20" s="7"/>
    </row>
    <row r="21" spans="1:19" x14ac:dyDescent="0.3">
      <c r="A21" s="7"/>
      <c r="B21" s="53"/>
      <c r="C21" s="25" t="s">
        <v>231</v>
      </c>
      <c r="D21" s="25"/>
      <c r="E21" s="26"/>
      <c r="F21" s="192" t="s">
        <v>274</v>
      </c>
      <c r="G21" s="193"/>
      <c r="H21" s="193"/>
      <c r="I21" s="193"/>
      <c r="J21" s="27" t="s">
        <v>213</v>
      </c>
      <c r="K21" s="28">
        <v>1</v>
      </c>
      <c r="L21" s="194"/>
      <c r="M21" s="195"/>
      <c r="N21" s="196">
        <f>L21*K21</f>
        <v>0</v>
      </c>
      <c r="O21" s="193"/>
      <c r="P21" s="193"/>
      <c r="Q21" s="193"/>
      <c r="R21" s="54"/>
      <c r="S21" s="7"/>
    </row>
    <row r="22" spans="1:19" x14ac:dyDescent="0.3">
      <c r="B22" s="42"/>
      <c r="C22" s="68" t="s">
        <v>232</v>
      </c>
      <c r="D22" s="25"/>
      <c r="E22" s="26"/>
      <c r="F22" s="192" t="s">
        <v>269</v>
      </c>
      <c r="G22" s="193"/>
      <c r="H22" s="193"/>
      <c r="I22" s="193"/>
      <c r="J22" s="27" t="s">
        <v>213</v>
      </c>
      <c r="K22" s="28">
        <v>1</v>
      </c>
      <c r="L22" s="194"/>
      <c r="M22" s="195"/>
      <c r="N22" s="196">
        <f>L22*K22</f>
        <v>0</v>
      </c>
      <c r="O22" s="193"/>
      <c r="P22" s="193"/>
      <c r="Q22" s="193"/>
      <c r="R22" s="43"/>
    </row>
    <row r="23" spans="1:19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31" spans="1:19" x14ac:dyDescent="0.3">
      <c r="N31" s="163"/>
    </row>
  </sheetData>
  <sheetProtection password="CC06" sheet="1" objects="1" scenarios="1"/>
  <mergeCells count="29">
    <mergeCell ref="F22:I22"/>
    <mergeCell ref="L22:M22"/>
    <mergeCell ref="N22:Q22"/>
    <mergeCell ref="F19:I19"/>
    <mergeCell ref="N21:Q21"/>
    <mergeCell ref="L19:M19"/>
    <mergeCell ref="N19:Q19"/>
    <mergeCell ref="F21:I21"/>
    <mergeCell ref="L21:M21"/>
    <mergeCell ref="F16:I16"/>
    <mergeCell ref="L16:M16"/>
    <mergeCell ref="N16:Q16"/>
    <mergeCell ref="F18:I18"/>
    <mergeCell ref="L18:M18"/>
    <mergeCell ref="N18:Q18"/>
    <mergeCell ref="N17:Q17"/>
    <mergeCell ref="N13:Q13"/>
    <mergeCell ref="N14:Q14"/>
    <mergeCell ref="F14:I14"/>
    <mergeCell ref="L14:M14"/>
    <mergeCell ref="C3:Q3"/>
    <mergeCell ref="F5:P5"/>
    <mergeCell ref="M7:P7"/>
    <mergeCell ref="M9:Q9"/>
    <mergeCell ref="M10:Q10"/>
    <mergeCell ref="F12:I12"/>
    <mergeCell ref="L12:M12"/>
    <mergeCell ref="N12:Q12"/>
    <mergeCell ref="F6:P6"/>
  </mergeCells>
  <pageMargins left="0.7" right="0.7" top="0.75" bottom="0.75" header="0.3" footer="0.3"/>
  <pageSetup paperSize="9" scale="9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 stavby</vt:lpstr>
      <vt:lpstr>030 - Rozšíření počítárny...</vt:lpstr>
      <vt:lpstr>Silnoproud</vt:lpstr>
      <vt:lpstr>Slaboproud</vt:lpstr>
      <vt:lpstr>'030 - Rozšíření počítárny...'!Názvy_tisku</vt:lpstr>
      <vt:lpstr>'Rekapitulace stavby'!Názvy_tisku</vt:lpstr>
      <vt:lpstr>Silnoproud!Oblast_tisku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Vondra</dc:creator>
  <cp:lastModifiedBy>TŠ</cp:lastModifiedBy>
  <cp:lastPrinted>2014-05-11T23:44:28Z</cp:lastPrinted>
  <dcterms:created xsi:type="dcterms:W3CDTF">2014-02-28T02:54:02Z</dcterms:created>
  <dcterms:modified xsi:type="dcterms:W3CDTF">2014-05-29T08:45:11Z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-1148852101</vt:i4>
  </property>
  <property fmtid="{D5CDD505-2E9C-101B-9397-08002B2CF9AE}" pid="3" name="_NewReviewCycle">
    <vt:lpwstr/>
  </property>
  <property fmtid="{D5CDD505-2E9C-101B-9397-08002B2CF9AE}" pid="4" name="_EmailSubject">
    <vt:lpwstr>ČNB počítárna_Předání digitální verze JPD</vt:lpwstr>
  </property>
  <property fmtid="{D5CDD505-2E9C-101B-9397-08002B2CF9AE}" pid="5" name="_AuthorEmail">
    <vt:lpwstr>Petr.Matejka@cnb.cz</vt:lpwstr>
  </property>
  <property fmtid="{D5CDD505-2E9C-101B-9397-08002B2CF9AE}" pid="6" name="_AuthorEmailDisplayName">
    <vt:lpwstr>Matějka Petr</vt:lpwstr>
  </property>
  <property fmtid="{D5CDD505-2E9C-101B-9397-08002B2CF9AE}" pid="7" name="_ReviewingToolsShownOnce">
    <vt:lpwstr/>
  </property>
</Properties>
</file>